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omments3.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15090" windowHeight="6750" tabRatio="807" activeTab="1"/>
  </bookViews>
  <sheets>
    <sheet name="Timeline 2018 update" sheetId="42" r:id="rId1"/>
    <sheet name="RFI Vendor Tracking" sheetId="49" r:id="rId2"/>
    <sheet name="Journey - Unemployed Adult" sheetId="40" r:id="rId3"/>
    <sheet name="Matrix summary by agency" sheetId="47" r:id="rId4"/>
    <sheet name="Activity Matrix All Detail" sheetId="48" r:id="rId5"/>
    <sheet name="Activity Matrix stat reqs" sheetId="46" r:id="rId6"/>
    <sheet name="Activity Matrix CWDC SME" sheetId="45" r:id="rId7"/>
    <sheet name="Activity Matrix DHS SME" sheetId="41" r:id="rId8"/>
    <sheet name="Funding Commitments" sheetId="35" r:id="rId9"/>
    <sheet name="Agency Participants" sheetId="30" r:id="rId10"/>
    <sheet name="Meetings_Communications" sheetId="43" r:id="rId11"/>
    <sheet name="Old Implementation" sheetId="31" r:id="rId12"/>
    <sheet name="Implementation 2018" sheetId="44" r:id="rId13"/>
    <sheet name="2017 Timeline" sheetId="29" r:id="rId14"/>
    <sheet name="Original Future State Concepts" sheetId="28" r:id="rId15"/>
    <sheet name="Strategic Options" sheetId="27" r:id="rId16"/>
    <sheet name="Funding source graph" sheetId="11" r:id="rId17"/>
    <sheet name="Budget with Funders" sheetId="10" r:id="rId18"/>
    <sheet name="Analytics Then and Now" sheetId="5" r:id="rId19"/>
    <sheet name="Rural_Urban" sheetId="6" r:id="rId20"/>
    <sheet name="Accounts by Agency_7 years" sheetId="9" r:id="rId21"/>
    <sheet name="Accounts 7 Grad Yrs " sheetId="7" r:id="rId22"/>
    <sheet name="CIC_Naviance Pricing" sheetId="12" r:id="rId23"/>
    <sheet name="Top OYF Pages" sheetId="1" r:id="rId24"/>
    <sheet name="Top CIC Pages" sheetId="2" r:id="rId25"/>
    <sheet name="Careers in Colorado Stats" sheetId="3" r:id="rId26"/>
    <sheet name="Pro Center Stats" sheetId="4" r:id="rId27"/>
    <sheet name="Curriculum" sheetId="13" r:id="rId28"/>
    <sheet name="Potential users" sheetId="15" r:id="rId29"/>
    <sheet name="Partnerships Focus" sheetId="16" r:id="rId30"/>
    <sheet name="Outreach Focus" sheetId="17" r:id="rId31"/>
    <sheet name="Statuatory Requirements" sheetId="18" r:id="rId32"/>
    <sheet name="Money 101 &amp; CAT Stats" sheetId="19" r:id="rId33"/>
    <sheet name="Report Central" sheetId="24" r:id="rId34"/>
    <sheet name="Product_Initiative Names" sheetId="34" r:id="rId35"/>
  </sheets>
  <externalReferences>
    <externalReference r:id="rId36"/>
    <externalReference r:id="rId37"/>
    <externalReference r:id="rId38"/>
    <externalReference r:id="rId39"/>
  </externalReferences>
  <definedNames>
    <definedName name="addDataLCL">OFFSET('[1]Rough data'!$D$2,0,0,COUNT('[1]Rough data'!$M$1:$M$65536),1)</definedName>
    <definedName name="addDataMean">OFFSET('[1]Rough data'!$N$1,0,0,COUNT('[1]Rough data'!$M$1:$M$65536),1)</definedName>
    <definedName name="addDataSource">OFFSET('[1]Rough data'!$M$1,0,0,MATCH(1E+306,'[1]Rough data'!$M$1:$M$65536,1),1)</definedName>
    <definedName name="addDataUCL">OFFSET('[1]Rough data'!$B$2,0,0,COUNT('[1]Rough data'!$M$1:$M$65536),1)</definedName>
    <definedName name="bins_array" localSheetId="4">#REF!</definedName>
    <definedName name="bins_array" localSheetId="6">#REF!</definedName>
    <definedName name="bins_array" localSheetId="7">#REF!</definedName>
    <definedName name="bins_array" localSheetId="5">#REF!</definedName>
    <definedName name="bins_array" localSheetId="12">#REF!</definedName>
    <definedName name="bins_array" localSheetId="3">#REF!</definedName>
    <definedName name="bins_array" localSheetId="15">#REF!</definedName>
    <definedName name="bins_array" localSheetId="0">#REF!</definedName>
    <definedName name="bins_array">#REF!</definedName>
    <definedName name="binSource" localSheetId="4">OFFSET(#REF!,0,0,COUNT(#REF!),1)</definedName>
    <definedName name="binSource" localSheetId="6">OFFSET(#REF!,0,0,COUNT(#REF!),1)</definedName>
    <definedName name="binSource" localSheetId="7">OFFSET(#REF!,0,0,COUNT(#REF!),1)</definedName>
    <definedName name="binSource" localSheetId="5">OFFSET(#REF!,0,0,COUNT(#REF!),1)</definedName>
    <definedName name="binSource" localSheetId="12">OFFSET(#REF!,0,0,COUNT(#REF!),1)</definedName>
    <definedName name="binSource" localSheetId="3">OFFSET(#REF!,0,0,COUNT(#REF!),1)</definedName>
    <definedName name="binSource" localSheetId="15">OFFSET(#REF!,0,0,COUNT(#REF!),1)</definedName>
    <definedName name="binSource" localSheetId="0">OFFSET(#REF!,0,0,COUNT(#REF!),1)</definedName>
    <definedName name="binSource">OFFSET(#REF!,0,0,COUNT(#REF!),1)</definedName>
    <definedName name="Branch1" localSheetId="4">#REF!</definedName>
    <definedName name="Branch1" localSheetId="6">#REF!</definedName>
    <definedName name="Branch1" localSheetId="7">#REF!</definedName>
    <definedName name="Branch1" localSheetId="5">#REF!</definedName>
    <definedName name="Branch1" localSheetId="12">#REF!</definedName>
    <definedName name="Branch1" localSheetId="3">#REF!</definedName>
    <definedName name="Branch1" localSheetId="15">#REF!</definedName>
    <definedName name="Branch1" localSheetId="0">#REF!</definedName>
    <definedName name="Branch1">#REF!</definedName>
    <definedName name="Branch15" localSheetId="4">#REF!</definedName>
    <definedName name="Branch15" localSheetId="6">#REF!</definedName>
    <definedName name="Branch15" localSheetId="7">#REF!</definedName>
    <definedName name="Branch15" localSheetId="5">#REF!</definedName>
    <definedName name="Branch15" localSheetId="12">#REF!</definedName>
    <definedName name="Branch15" localSheetId="3">#REF!</definedName>
    <definedName name="Branch15" localSheetId="0">#REF!</definedName>
    <definedName name="Branch15">#REF!</definedName>
    <definedName name="Branch2" localSheetId="4">#REF!</definedName>
    <definedName name="Branch2" localSheetId="6">#REF!</definedName>
    <definedName name="Branch2" localSheetId="7">#REF!</definedName>
    <definedName name="Branch2" localSheetId="5">#REF!</definedName>
    <definedName name="Branch2" localSheetId="12">#REF!</definedName>
    <definedName name="Branch2" localSheetId="3">#REF!</definedName>
    <definedName name="Branch2" localSheetId="15">#REF!</definedName>
    <definedName name="Branch2">#REF!</definedName>
    <definedName name="Branch3" localSheetId="4">#REF!</definedName>
    <definedName name="Branch3" localSheetId="6">#REF!</definedName>
    <definedName name="Branch3" localSheetId="7">#REF!</definedName>
    <definedName name="Branch3" localSheetId="5">#REF!</definedName>
    <definedName name="Branch3" localSheetId="12">#REF!</definedName>
    <definedName name="Branch3" localSheetId="3">#REF!</definedName>
    <definedName name="Branch3">#REF!</definedName>
    <definedName name="Branch4" localSheetId="4">#REF!</definedName>
    <definedName name="Branch4" localSheetId="6">#REF!</definedName>
    <definedName name="Branch4" localSheetId="7">#REF!</definedName>
    <definedName name="Branch4" localSheetId="5">#REF!</definedName>
    <definedName name="Branch4" localSheetId="12">#REF!</definedName>
    <definedName name="Branch4" localSheetId="3">#REF!</definedName>
    <definedName name="Branch4">#REF!</definedName>
    <definedName name="Branch5" localSheetId="4">#REF!</definedName>
    <definedName name="Branch5" localSheetId="6">#REF!</definedName>
    <definedName name="Branch5" localSheetId="7">#REF!</definedName>
    <definedName name="Branch5" localSheetId="5">#REF!</definedName>
    <definedName name="Branch5" localSheetId="12">#REF!</definedName>
    <definedName name="Branch5" localSheetId="3">#REF!</definedName>
    <definedName name="Branch5">#REF!</definedName>
    <definedName name="Branch6" localSheetId="4">#REF!</definedName>
    <definedName name="Branch6" localSheetId="6">#REF!</definedName>
    <definedName name="Branch6" localSheetId="7">#REF!</definedName>
    <definedName name="Branch6" localSheetId="5">#REF!</definedName>
    <definedName name="Branch6" localSheetId="12">#REF!</definedName>
    <definedName name="Branch6" localSheetId="3">#REF!</definedName>
    <definedName name="Branch6">#REF!</definedName>
    <definedName name="careerExporation" localSheetId="27">Curriculum!$A$5</definedName>
    <definedName name="cdfButton_Click" localSheetId="4">'Activity Matrix All Detail'!cdfButton_Click</definedName>
    <definedName name="cdfButton_Click" localSheetId="6">'Activity Matrix CWDC SME'!cdfButton_Click</definedName>
    <definedName name="cdfButton_Click" localSheetId="7">'Activity Matrix DHS SME'!cdfButton_Click</definedName>
    <definedName name="cdfButton_Click" localSheetId="5">'Activity Matrix stat reqs'!cdfButton_Click</definedName>
    <definedName name="cdfButton_Click" localSheetId="15">'Strategic Options'!cdfButton_Click</definedName>
    <definedName name="cdfButton_Click">[2]!cdfButton_Click</definedName>
    <definedName name="chartSource">OFFSET('[3]Rough data'!$B$1,0,0,MATCH(1E+306,'[3]Rough data'!$B$1:$B$65536,1),2)</definedName>
    <definedName name="cpk_Area_Style_Click" localSheetId="4">'Activity Matrix All Detail'!cpk_Area_Style_Click</definedName>
    <definedName name="cpk_Area_Style_Click" localSheetId="6">'Activity Matrix CWDC SME'!cpk_Area_Style_Click</definedName>
    <definedName name="cpk_Area_Style_Click" localSheetId="7">'Activity Matrix DHS SME'!cpk_Area_Style_Click</definedName>
    <definedName name="cpk_Area_Style_Click" localSheetId="5">'Activity Matrix stat reqs'!cpk_Area_Style_Click</definedName>
    <definedName name="cpk_Area_Style_Click" localSheetId="15">'Strategic Options'!cpk_Area_Style_Click</definedName>
    <definedName name="cpk_Area_Style_Click">[2]!cpk_Area_Style_Click</definedName>
    <definedName name="cpk_Change_LSL_Click" localSheetId="4">'Activity Matrix All Detail'!cpk_Change_LSL_Click</definedName>
    <definedName name="cpk_Change_LSL_Click" localSheetId="6">'Activity Matrix CWDC SME'!cpk_Change_LSL_Click</definedName>
    <definedName name="cpk_Change_LSL_Click" localSheetId="7">'Activity Matrix DHS SME'!cpk_Change_LSL_Click</definedName>
    <definedName name="cpk_Change_LSL_Click" localSheetId="5">'Activity Matrix stat reqs'!cpk_Change_LSL_Click</definedName>
    <definedName name="cpk_Change_LSL_Click" localSheetId="15">'Strategic Options'!cpk_Change_LSL_Click</definedName>
    <definedName name="cpk_Change_LSL_Click">[2]!cpk_Change_LSL_Click</definedName>
    <definedName name="cpk_Change_USL_Click" localSheetId="4">'Activity Matrix All Detail'!cpk_Change_USL_Click</definedName>
    <definedName name="cpk_Change_USL_Click" localSheetId="6">'Activity Matrix CWDC SME'!cpk_Change_USL_Click</definedName>
    <definedName name="cpk_Change_USL_Click" localSheetId="7">'Activity Matrix DHS SME'!cpk_Change_USL_Click</definedName>
    <definedName name="cpk_Change_USL_Click" localSheetId="5">'Activity Matrix stat reqs'!cpk_Change_USL_Click</definedName>
    <definedName name="cpk_Change_USL_Click" localSheetId="15">'Strategic Options'!cpk_Change_USL_Click</definedName>
    <definedName name="cpk_Change_USL_Click">[2]!cpk_Change_USL_Click</definedName>
    <definedName name="cpk_Line_Style_Click" localSheetId="4">'Activity Matrix All Detail'!cpk_Line_Style_Click</definedName>
    <definedName name="cpk_Line_Style_Click" localSheetId="6">'Activity Matrix CWDC SME'!cpk_Line_Style_Click</definedName>
    <definedName name="cpk_Line_Style_Click" localSheetId="7">'Activity Matrix DHS SME'!cpk_Line_Style_Click</definedName>
    <definedName name="cpk_Line_Style_Click" localSheetId="5">'Activity Matrix stat reqs'!cpk_Line_Style_Click</definedName>
    <definedName name="cpk_Line_Style_Click" localSheetId="15">'Strategic Options'!cpk_Line_Style_Click</definedName>
    <definedName name="cpk_Line_Style_Click">[2]!cpk_Line_Style_Click</definedName>
    <definedName name="cpk_No_LSL_Click" localSheetId="4">'Activity Matrix All Detail'!cpk_No_LSL_Click</definedName>
    <definedName name="cpk_No_LSL_Click" localSheetId="6">'Activity Matrix CWDC SME'!cpk_No_LSL_Click</definedName>
    <definedName name="cpk_No_LSL_Click" localSheetId="7">'Activity Matrix DHS SME'!cpk_No_LSL_Click</definedName>
    <definedName name="cpk_No_LSL_Click" localSheetId="5">'Activity Matrix stat reqs'!cpk_No_LSL_Click</definedName>
    <definedName name="cpk_No_LSL_Click" localSheetId="15">'Strategic Options'!cpk_No_LSL_Click</definedName>
    <definedName name="cpk_No_LSL_Click">[2]!cpk_No_LSL_Click</definedName>
    <definedName name="cpk_No_USL_Click" localSheetId="4">'Activity Matrix All Detail'!cpk_No_USL_Click</definedName>
    <definedName name="cpk_No_USL_Click" localSheetId="6">'Activity Matrix CWDC SME'!cpk_No_USL_Click</definedName>
    <definedName name="cpk_No_USL_Click" localSheetId="7">'Activity Matrix DHS SME'!cpk_No_USL_Click</definedName>
    <definedName name="cpk_No_USL_Click" localSheetId="5">'Activity Matrix stat reqs'!cpk_No_USL_Click</definedName>
    <definedName name="cpk_No_USL_Click" localSheetId="15">'Strategic Options'!cpk_No_USL_Click</definedName>
    <definedName name="cpk_No_USL_Click">[2]!cpk_No_USL_Click</definedName>
    <definedName name="cpk_Res_Spinner_Click" localSheetId="4">'Activity Matrix All Detail'!cpk_Res_Spinner_Click</definedName>
    <definedName name="cpk_Res_Spinner_Click" localSheetId="6">'Activity Matrix CWDC SME'!cpk_Res_Spinner_Click</definedName>
    <definedName name="cpk_Res_Spinner_Click" localSheetId="7">'Activity Matrix DHS SME'!cpk_Res_Spinner_Click</definedName>
    <definedName name="cpk_Res_Spinner_Click" localSheetId="5">'Activity Matrix stat reqs'!cpk_Res_Spinner_Click</definedName>
    <definedName name="cpk_Res_Spinner_Click" localSheetId="15">'Strategic Options'!cpk_Res_Spinner_Click</definedName>
    <definedName name="cpk_Res_Spinner_Click">[2]!cpk_Res_Spinner_Click</definedName>
    <definedName name="cpkButton_Click" localSheetId="4">'Activity Matrix All Detail'!cpkButton_Click</definedName>
    <definedName name="cpkButton_Click" localSheetId="6">'Activity Matrix CWDC SME'!cpkButton_Click</definedName>
    <definedName name="cpkButton_Click" localSheetId="7">'Activity Matrix DHS SME'!cpkButton_Click</definedName>
    <definedName name="cpkButton_Click" localSheetId="5">'Activity Matrix stat reqs'!cpkButton_Click</definedName>
    <definedName name="cpkButton_Click" localSheetId="15">'Strategic Options'!cpkButton_Click</definedName>
    <definedName name="cpkButton_Click">[2]!cpkButton_Click</definedName>
    <definedName name="data" localSheetId="4">#REF!</definedName>
    <definedName name="data" localSheetId="6">#REF!</definedName>
    <definedName name="data" localSheetId="7">#REF!</definedName>
    <definedName name="data" localSheetId="5">#REF!</definedName>
    <definedName name="data" localSheetId="12">#REF!</definedName>
    <definedName name="data" localSheetId="3">#REF!</definedName>
    <definedName name="data" localSheetId="15">#REF!</definedName>
    <definedName name="data" localSheetId="0">#REF!</definedName>
    <definedName name="data">#REF!</definedName>
    <definedName name="data_array" localSheetId="4">#REF!</definedName>
    <definedName name="data_array" localSheetId="6">#REF!</definedName>
    <definedName name="data_array" localSheetId="7">#REF!</definedName>
    <definedName name="data_array" localSheetId="5">#REF!</definedName>
    <definedName name="data_array" localSheetId="12">#REF!</definedName>
    <definedName name="data_array" localSheetId="3">#REF!</definedName>
    <definedName name="data_array" localSheetId="15">#REF!</definedName>
    <definedName name="data_array" localSheetId="0">#REF!</definedName>
    <definedName name="data_array">#REF!</definedName>
    <definedName name="dataSource" localSheetId="4">OFFSET(#REF!,0,0,COUNT(#REF!),1)</definedName>
    <definedName name="dataSource" localSheetId="6">OFFSET(#REF!,0,0,COUNT(#REF!),1)</definedName>
    <definedName name="dataSource" localSheetId="7">OFFSET(#REF!,0,0,COUNT(#REF!),1)</definedName>
    <definedName name="dataSource" localSheetId="5">OFFSET(#REF!,0,0,COUNT(#REF!),1)</definedName>
    <definedName name="dataSource" localSheetId="12">OFFSET(#REF!,0,0,COUNT(#REF!),1)</definedName>
    <definedName name="dataSource" localSheetId="3">OFFSET(#REF!,0,0,COUNT(#REF!),1)</definedName>
    <definedName name="dataSource" localSheetId="15">OFFSET(#REF!,0,0,COUNT(#REF!),1)</definedName>
    <definedName name="dataSource" localSheetId="0">OFFSET(#REF!,0,0,COUNT(#REF!),1)</definedName>
    <definedName name="dataSource">OFFSET(#REF!,0,0,COUNT(#REF!),1)</definedName>
    <definedName name="Diagram_Back_Click" localSheetId="4">'Activity Matrix All Detail'!Diagram_Back_Click</definedName>
    <definedName name="Diagram_Back_Click" localSheetId="6">'Activity Matrix CWDC SME'!Diagram_Back_Click</definedName>
    <definedName name="Diagram_Back_Click" localSheetId="7">'Activity Matrix DHS SME'!Diagram_Back_Click</definedName>
    <definedName name="Diagram_Back_Click" localSheetId="5">'Activity Matrix stat reqs'!Diagram_Back_Click</definedName>
    <definedName name="Diagram_Back_Click" localSheetId="15">'Strategic Options'!Diagram_Back_Click</definedName>
    <definedName name="Diagram_Back_Click">[2]!Diagram_Back_Click</definedName>
    <definedName name="Diagram_Finish_Click" localSheetId="4">'Activity Matrix All Detail'!Diagram_Finish_Click</definedName>
    <definedName name="Diagram_Finish_Click" localSheetId="6">'Activity Matrix CWDC SME'!Diagram_Finish_Click</definedName>
    <definedName name="Diagram_Finish_Click" localSheetId="7">'Activity Matrix DHS SME'!Diagram_Finish_Click</definedName>
    <definedName name="Diagram_Finish_Click" localSheetId="5">'Activity Matrix stat reqs'!Diagram_Finish_Click</definedName>
    <definedName name="Diagram_Finish_Click" localSheetId="15">'Strategic Options'!Diagram_Finish_Click</definedName>
    <definedName name="Diagram_Finish_Click">[2]!Diagram_Finish_Click</definedName>
    <definedName name="Diagram_Finish_Click_" localSheetId="4">'Activity Matrix All Detail'!Diagram_Finish_Click_</definedName>
    <definedName name="Diagram_Finish_Click_" localSheetId="6">'Activity Matrix CWDC SME'!Diagram_Finish_Click_</definedName>
    <definedName name="Diagram_Finish_Click_" localSheetId="7">'Activity Matrix DHS SME'!Diagram_Finish_Click_</definedName>
    <definedName name="Diagram_Finish_Click_" localSheetId="5">'Activity Matrix stat reqs'!Diagram_Finish_Click_</definedName>
    <definedName name="Diagram_Finish_Click_" localSheetId="15">'Strategic Options'!Diagram_Finish_Click_</definedName>
    <definedName name="Diagram_Finish_Click_">[2]!Diagram_Finish_Click_</definedName>
    <definedName name="Diagrams_Dialog_Constructor" localSheetId="4">'Activity Matrix All Detail'!Diagrams_Dialog_Constructor</definedName>
    <definedName name="Diagrams_Dialog_Constructor" localSheetId="6">'Activity Matrix CWDC SME'!Diagrams_Dialog_Constructor</definedName>
    <definedName name="Diagrams_Dialog_Constructor" localSheetId="7">'Activity Matrix DHS SME'!Diagrams_Dialog_Constructor</definedName>
    <definedName name="Diagrams_Dialog_Constructor" localSheetId="5">'Activity Matrix stat reqs'!Diagrams_Dialog_Constructor</definedName>
    <definedName name="Diagrams_Dialog_Constructor" localSheetId="15">'Strategic Options'!Diagrams_Dialog_Constructor</definedName>
    <definedName name="Diagrams_Dialog_Constructor">[2]!Diagrams_Dialog_Constructor</definedName>
    <definedName name="finaidPlanning" localSheetId="27">Curriculum!$A$38</definedName>
    <definedName name="freqSource" localSheetId="4">OFFSET(#REF!,0,0,COUNT(#REF!),1)</definedName>
    <definedName name="freqSource" localSheetId="6">OFFSET(#REF!,0,0,COUNT(#REF!),1)</definedName>
    <definedName name="freqSource" localSheetId="7">OFFSET(#REF!,0,0,COUNT(#REF!),1)</definedName>
    <definedName name="freqSource" localSheetId="5">OFFSET(#REF!,0,0,COUNT(#REF!),1)</definedName>
    <definedName name="freqSource" localSheetId="12">OFFSET(#REF!,0,0,COUNT(#REF!),1)</definedName>
    <definedName name="freqSource" localSheetId="3">OFFSET(#REF!,0,0,COUNT(#REF!),1)</definedName>
    <definedName name="freqSource" localSheetId="15">OFFSET(#REF!,0,0,COUNT(#REF!),1)</definedName>
    <definedName name="freqSource" localSheetId="0">OFFSET(#REF!,0,0,COUNT(#REF!),1)</definedName>
    <definedName name="freqSource">OFFSET(#REF!,0,0,COUNT(#REF!),1)</definedName>
    <definedName name="FTestBaseCell" localSheetId="4">#REF!</definedName>
    <definedName name="FTestBaseCell" localSheetId="6">#REF!</definedName>
    <definedName name="FTestBaseCell" localSheetId="7">#REF!</definedName>
    <definedName name="FTestBaseCell" localSheetId="5">#REF!</definedName>
    <definedName name="FTestBaseCell" localSheetId="12">#REF!</definedName>
    <definedName name="FTestBaseCell" localSheetId="3">#REF!</definedName>
    <definedName name="FTestBaseCell" localSheetId="15">#REF!</definedName>
    <definedName name="FTestBaseCell" localSheetId="0">#REF!</definedName>
    <definedName name="FTestBaseCell">#REF!</definedName>
    <definedName name="g_Cancel_Chart" localSheetId="4">'Activity Matrix All Detail'!g_Cancel_Chart</definedName>
    <definedName name="g_Cancel_Chart" localSheetId="6">'Activity Matrix CWDC SME'!g_Cancel_Chart</definedName>
    <definedName name="g_Cancel_Chart" localSheetId="7">'Activity Matrix DHS SME'!g_Cancel_Chart</definedName>
    <definedName name="g_Cancel_Chart" localSheetId="5">'Activity Matrix stat reqs'!g_Cancel_Chart</definedName>
    <definedName name="g_Cancel_Chart" localSheetId="15">'Strategic Options'!g_Cancel_Chart</definedName>
    <definedName name="g_Cancel_Chart">[2]!g_Cancel_Chart</definedName>
    <definedName name="Height">16</definedName>
    <definedName name="hist_Back_Click" localSheetId="4">'Activity Matrix All Detail'!hist_Back_Click</definedName>
    <definedName name="hist_Back_Click" localSheetId="6">'Activity Matrix CWDC SME'!hist_Back_Click</definedName>
    <definedName name="hist_Back_Click" localSheetId="7">'Activity Matrix DHS SME'!hist_Back_Click</definedName>
    <definedName name="hist_Back_Click" localSheetId="5">'Activity Matrix stat reqs'!hist_Back_Click</definedName>
    <definedName name="hist_Back_Click" localSheetId="15">'Strategic Options'!hist_Back_Click</definedName>
    <definedName name="hist_Back_Click">[2]!hist_Back_Click</definedName>
    <definedName name="hist_Save_Defaults" localSheetId="4">'Activity Matrix All Detail'!hist_Save_Defaults</definedName>
    <definedName name="hist_Save_Defaults" localSheetId="6">'Activity Matrix CWDC SME'!hist_Save_Defaults</definedName>
    <definedName name="hist_Save_Defaults" localSheetId="7">'Activity Matrix DHS SME'!hist_Save_Defaults</definedName>
    <definedName name="hist_Save_Defaults" localSheetId="5">'Activity Matrix stat reqs'!hist_Save_Defaults</definedName>
    <definedName name="hist_Save_Defaults" localSheetId="15">'Strategic Options'!hist_Save_Defaults</definedName>
    <definedName name="hist_Save_Defaults">[2]!hist_Save_Defaults</definedName>
    <definedName name="histButton_Click" localSheetId="4">'Activity Matrix All Detail'!histButton_Click</definedName>
    <definedName name="histButton_Click" localSheetId="6">'Activity Matrix CWDC SME'!histButton_Click</definedName>
    <definedName name="histButton_Click" localSheetId="7">'Activity Matrix DHS SME'!histButton_Click</definedName>
    <definedName name="histButton_Click" localSheetId="5">'Activity Matrix stat reqs'!histButton_Click</definedName>
    <definedName name="histButton_Click" localSheetId="15">'Strategic Options'!histButton_Click</definedName>
    <definedName name="histButton_Click">[2]!histButton_Click</definedName>
    <definedName name="hsPlanning" localSheetId="27">Curriculum!$A$27</definedName>
    <definedName name="individualsSource" localSheetId="4">OFFSET(#REF!,0,0,MATCH(1E+306,#REF!,1),1)</definedName>
    <definedName name="individualsSource" localSheetId="6">OFFSET(#REF!,0,0,MATCH(1E+306,#REF!,1),1)</definedName>
    <definedName name="individualsSource" localSheetId="7">OFFSET(#REF!,0,0,MATCH(1E+306,#REF!,1),1)</definedName>
    <definedName name="individualsSource" localSheetId="5">OFFSET(#REF!,0,0,MATCH(1E+306,#REF!,1),1)</definedName>
    <definedName name="individualsSource" localSheetId="12">OFFSET(#REF!,0,0,MATCH(1E+306,#REF!,1),1)</definedName>
    <definedName name="individualsSource" localSheetId="3">OFFSET(#REF!,0,0,MATCH(1E+306,#REF!,1),1)</definedName>
    <definedName name="individualsSource" localSheetId="15">OFFSET(#REF!,0,0,MATCH(1E+306,#REF!,1),1)</definedName>
    <definedName name="individualsSource" localSheetId="0">OFFSET(#REF!,0,0,MATCH(1E+306,#REF!,1),1)</definedName>
    <definedName name="individualsSource">OFFSET(#REF!,0,0,MATCH(1E+306,#REF!,1),1)</definedName>
    <definedName name="Ishikawa" localSheetId="4">#REF!</definedName>
    <definedName name="Ishikawa" localSheetId="6">#REF!</definedName>
    <definedName name="Ishikawa" localSheetId="7">#REF!</definedName>
    <definedName name="Ishikawa" localSheetId="5">#REF!</definedName>
    <definedName name="Ishikawa" localSheetId="12">#REF!</definedName>
    <definedName name="Ishikawa" localSheetId="3">#REF!</definedName>
    <definedName name="Ishikawa" localSheetId="15">#REF!</definedName>
    <definedName name="Ishikawa" localSheetId="0">#REF!</definedName>
    <definedName name="Ishikawa">#REF!</definedName>
    <definedName name="jobSearch" localSheetId="27">Curriculum!$A$49</definedName>
    <definedName name="lifelongPortfolio" localSheetId="27">Curriculum!$A$60</definedName>
    <definedName name="meanCalc">OFFSET('[1]Rough data'!$A$2,0,0,COUNT('[1]Rough data'!$A$1:$A$65536),1)</definedName>
    <definedName name="NumRqmts" localSheetId="4">#REF!</definedName>
    <definedName name="NumRqmts" localSheetId="6">#REF!</definedName>
    <definedName name="NumRqmts" localSheetId="7">#REF!</definedName>
    <definedName name="NumRqmts" localSheetId="5">#REF!</definedName>
    <definedName name="NumRqmts" localSheetId="12">#REF!</definedName>
    <definedName name="NumRqmts" localSheetId="3">#REF!</definedName>
    <definedName name="NumRqmts" localSheetId="15">#REF!</definedName>
    <definedName name="NumRqmts" localSheetId="0">#REF!</definedName>
    <definedName name="NumRqmts">#REF!</definedName>
    <definedName name="par_2DwCum_Click" localSheetId="4">'Activity Matrix All Detail'!par_2DwCum_Click</definedName>
    <definedName name="par_2DwCum_Click" localSheetId="6">'Activity Matrix CWDC SME'!par_2DwCum_Click</definedName>
    <definedName name="par_2DwCum_Click" localSheetId="7">'Activity Matrix DHS SME'!par_2DwCum_Click</definedName>
    <definedName name="par_2DwCum_Click" localSheetId="5">'Activity Matrix stat reqs'!par_2DwCum_Click</definedName>
    <definedName name="par_2DwCum_Click" localSheetId="15">'Strategic Options'!par_2DwCum_Click</definedName>
    <definedName name="par_2DwCum_Click">[2]!par_2DwCum_Click</definedName>
    <definedName name="par_2DwoCum_Click" localSheetId="4">'Activity Matrix All Detail'!par_2DwoCum_Click</definedName>
    <definedName name="par_2DwoCum_Click" localSheetId="6">'Activity Matrix CWDC SME'!par_2DwoCum_Click</definedName>
    <definedName name="par_2DwoCum_Click" localSheetId="7">'Activity Matrix DHS SME'!par_2DwoCum_Click</definedName>
    <definedName name="par_2DwoCum_Click" localSheetId="5">'Activity Matrix stat reqs'!par_2DwoCum_Click</definedName>
    <definedName name="par_2DwoCum_Click" localSheetId="15">'Strategic Options'!par_2DwoCum_Click</definedName>
    <definedName name="par_2DwoCum_Click">[2]!par_2DwoCum_Click</definedName>
    <definedName name="par_3DwoCum_Click" localSheetId="4">'Activity Matrix All Detail'!par_3DwoCum_Click</definedName>
    <definedName name="par_3DwoCum_Click" localSheetId="6">'Activity Matrix CWDC SME'!par_3DwoCum_Click</definedName>
    <definedName name="par_3DwoCum_Click" localSheetId="7">'Activity Matrix DHS SME'!par_3DwoCum_Click</definedName>
    <definedName name="par_3DwoCum_Click" localSheetId="5">'Activity Matrix stat reqs'!par_3DwoCum_Click</definedName>
    <definedName name="par_3DwoCum_Click" localSheetId="15">'Strategic Options'!par_3DwoCum_Click</definedName>
    <definedName name="par_3DwoCum_Click">[2]!par_3DwoCum_Click</definedName>
    <definedName name="par_Ascend_Click" localSheetId="4">'Activity Matrix All Detail'!par_Ascend_Click</definedName>
    <definedName name="par_Ascend_Click" localSheetId="6">'Activity Matrix CWDC SME'!par_Ascend_Click</definedName>
    <definedName name="par_Ascend_Click" localSheetId="7">'Activity Matrix DHS SME'!par_Ascend_Click</definedName>
    <definedName name="par_Ascend_Click" localSheetId="5">'Activity Matrix stat reqs'!par_Ascend_Click</definedName>
    <definedName name="par_Ascend_Click" localSheetId="15">'Strategic Options'!par_Ascend_Click</definedName>
    <definedName name="par_Ascend_Click">[2]!par_Ascend_Click</definedName>
    <definedName name="par_Back_Click" localSheetId="4">'Activity Matrix All Detail'!par_Back_Click</definedName>
    <definedName name="par_Back_Click" localSheetId="6">'Activity Matrix CWDC SME'!par_Back_Click</definedName>
    <definedName name="par_Back_Click" localSheetId="7">'Activity Matrix DHS SME'!par_Back_Click</definedName>
    <definedName name="par_Back_Click" localSheetId="5">'Activity Matrix stat reqs'!par_Back_Click</definedName>
    <definedName name="par_Back_Click" localSheetId="15">'Strategic Options'!par_Back_Click</definedName>
    <definedName name="par_Back_Click">[2]!par_Back_Click</definedName>
    <definedName name="par_Descend_Click" localSheetId="4">'Activity Matrix All Detail'!par_Descend_Click</definedName>
    <definedName name="par_Descend_Click" localSheetId="6">'Activity Matrix CWDC SME'!par_Descend_Click</definedName>
    <definedName name="par_Descend_Click" localSheetId="7">'Activity Matrix DHS SME'!par_Descend_Click</definedName>
    <definedName name="par_Descend_Click" localSheetId="5">'Activity Matrix stat reqs'!par_Descend_Click</definedName>
    <definedName name="par_Descend_Click" localSheetId="15">'Strategic Options'!par_Descend_Click</definedName>
    <definedName name="par_Descend_Click">[2]!par_Descend_Click</definedName>
    <definedName name="par_First_Row_Click" localSheetId="4">'Activity Matrix All Detail'!par_First_Row_Click</definedName>
    <definedName name="par_First_Row_Click" localSheetId="6">'Activity Matrix CWDC SME'!par_First_Row_Click</definedName>
    <definedName name="par_First_Row_Click" localSheetId="7">'Activity Matrix DHS SME'!par_First_Row_Click</definedName>
    <definedName name="par_First_Row_Click" localSheetId="5">'Activity Matrix stat reqs'!par_First_Row_Click</definedName>
    <definedName name="par_First_Row_Click" localSheetId="15">'Strategic Options'!par_First_Row_Click</definedName>
    <definedName name="par_First_Row_Click">[2]!par_First_Row_Click</definedName>
    <definedName name="par_Save_Defaults" localSheetId="4">'Activity Matrix All Detail'!par_Save_Defaults</definedName>
    <definedName name="par_Save_Defaults" localSheetId="6">'Activity Matrix CWDC SME'!par_Save_Defaults</definedName>
    <definedName name="par_Save_Defaults" localSheetId="7">'Activity Matrix DHS SME'!par_Save_Defaults</definedName>
    <definedName name="par_Save_Defaults" localSheetId="5">'Activity Matrix stat reqs'!par_Save_Defaults</definedName>
    <definedName name="par_Save_Defaults" localSheetId="15">'Strategic Options'!par_Save_Defaults</definedName>
    <definedName name="par_Save_Defaults">[2]!par_Save_Defaults</definedName>
    <definedName name="parButton_Click" localSheetId="4">'Activity Matrix All Detail'!parButton_Click</definedName>
    <definedName name="parButton_Click" localSheetId="6">'Activity Matrix CWDC SME'!parButton_Click</definedName>
    <definedName name="parButton_Click" localSheetId="7">'Activity Matrix DHS SME'!parButton_Click</definedName>
    <definedName name="parButton_Click" localSheetId="5">'Activity Matrix stat reqs'!parButton_Click</definedName>
    <definedName name="parButton_Click" localSheetId="15">'Strategic Options'!parButton_Click</definedName>
    <definedName name="parButton_Click">[2]!parButton_Click</definedName>
    <definedName name="paretoSource" localSheetId="4">OFFSET(#REF!,0,0,COUNTA(#REF!),2)</definedName>
    <definedName name="paretoSource" localSheetId="6">OFFSET(#REF!,0,0,COUNTA(#REF!),2)</definedName>
    <definedName name="paretoSource" localSheetId="7">OFFSET(#REF!,0,0,COUNTA(#REF!),2)</definedName>
    <definedName name="paretoSource" localSheetId="5">OFFSET(#REF!,0,0,COUNTA(#REF!),2)</definedName>
    <definedName name="paretoSource" localSheetId="12">OFFSET(#REF!,0,0,COUNTA(#REF!),2)</definedName>
    <definedName name="paretoSource" localSheetId="3">OFFSET(#REF!,0,0,COUNTA(#REF!),2)</definedName>
    <definedName name="paretoSource" localSheetId="15">OFFSET(#REF!,0,0,COUNTA(#REF!),2)</definedName>
    <definedName name="paretoSource" localSheetId="0">OFFSET(#REF!,0,0,COUNTA(#REF!),2)</definedName>
    <definedName name="paretoSource">OFFSET(#REF!,0,0,COUNTA(#REF!),2)</definedName>
    <definedName name="pivotSource">OFFSET('[4]Rough data'!$E$3,0,0,COUNTA('[4]Rough data'!$E$1:$E$65536),1)</definedName>
    <definedName name="postsecPlanning" localSheetId="27">Curriculum!$A$16</definedName>
    <definedName name="_xlnm.Print_Area" localSheetId="13">'2017 Timeline'!$A$1:$Y$27</definedName>
    <definedName name="_xlnm.Print_Area" localSheetId="4">'Activity Matrix All Detail'!$A$1:$BM$183</definedName>
    <definedName name="_xlnm.Print_Area" localSheetId="6">'Activity Matrix CWDC SME'!$A$3:$M$144</definedName>
    <definedName name="_xlnm.Print_Area" localSheetId="7">'Activity Matrix DHS SME'!$A$3:$M$144</definedName>
    <definedName name="_xlnm.Print_Area" localSheetId="5">'Activity Matrix stat reqs'!$A$3:$AK$188</definedName>
    <definedName name="_xlnm.Print_Area" localSheetId="2">'Journey - Unemployed Adult'!$A$1:$P$24</definedName>
    <definedName name="_xlnm.Print_Area" localSheetId="30">'Outreach Focus'!$A$1:$P$36</definedName>
    <definedName name="_xlnm.Print_Area" localSheetId="29">'Partnerships Focus'!$A$1:$R$41</definedName>
    <definedName name="_xlnm.Print_Area" localSheetId="19">Rural_Urban!$A$1:$K$34</definedName>
    <definedName name="_xlnm.Print_Area" localSheetId="31">'Statuatory Requirements'!$A$1:$P$74</definedName>
    <definedName name="_xlnm.Print_Area" localSheetId="0">'Timeline 2018 update'!$A$1:$Y$34</definedName>
    <definedName name="_xlnm.Print_Titles" localSheetId="4">'Activity Matrix All Detail'!$11:$11</definedName>
    <definedName name="_xlnm.Print_Titles" localSheetId="6">'Activity Matrix CWDC SME'!$11:$11</definedName>
    <definedName name="_xlnm.Print_Titles" localSheetId="7">'Activity Matrix DHS SME'!$11:$11</definedName>
    <definedName name="_xlnm.Print_Titles" localSheetId="5">'Activity Matrix stat reqs'!$11:$11</definedName>
    <definedName name="_xlnm.Print_Titles" localSheetId="17">'Budget with Funders'!$A:$A</definedName>
    <definedName name="_xlnm.Print_Titles" localSheetId="14">'Original Future State Concepts'!$2:$2</definedName>
    <definedName name="_xlnm.Print_Titles" localSheetId="15">'Strategic Options'!$6:$8</definedName>
    <definedName name="rngh" localSheetId="4">#REF!</definedName>
    <definedName name="rngh" localSheetId="6">#REF!</definedName>
    <definedName name="rngh" localSheetId="7">#REF!</definedName>
    <definedName name="rngh" localSheetId="5">#REF!</definedName>
    <definedName name="rngh" localSheetId="12">#REF!</definedName>
    <definedName name="rngh" localSheetId="3">#REF!</definedName>
    <definedName name="rngh" localSheetId="15">#REF!</definedName>
    <definedName name="rngh" localSheetId="0">#REF!</definedName>
    <definedName name="rngh">#REF!</definedName>
    <definedName name="rngt" localSheetId="4">#REF!</definedName>
    <definedName name="rngt" localSheetId="6">#REF!</definedName>
    <definedName name="rngt" localSheetId="7">#REF!</definedName>
    <definedName name="rngt" localSheetId="5">#REF!</definedName>
    <definedName name="rngt" localSheetId="12">#REF!</definedName>
    <definedName name="rngt" localSheetId="3">#REF!</definedName>
    <definedName name="rngt" localSheetId="15">#REF!</definedName>
    <definedName name="rngt" localSheetId="0">#REF!</definedName>
    <definedName name="rngt">#REF!</definedName>
    <definedName name="rngxl10" localSheetId="4">#REF!</definedName>
    <definedName name="rngxl10" localSheetId="6">#REF!</definedName>
    <definedName name="rngxl10" localSheetId="7">#REF!</definedName>
    <definedName name="rngxl10" localSheetId="5">#REF!</definedName>
    <definedName name="rngxl10" localSheetId="12">#REF!</definedName>
    <definedName name="rngxl10" localSheetId="3">#REF!</definedName>
    <definedName name="rngxl10" localSheetId="15">#REF!</definedName>
    <definedName name="rngxl10" localSheetId="0">#REF!</definedName>
    <definedName name="rngxl10">#REF!</definedName>
    <definedName name="rngxl11" localSheetId="4">#REF!</definedName>
    <definedName name="rngxl11" localSheetId="6">#REF!</definedName>
    <definedName name="rngxl11" localSheetId="7">#REF!</definedName>
    <definedName name="rngxl11" localSheetId="5">#REF!</definedName>
    <definedName name="rngxl11" localSheetId="12">#REF!</definedName>
    <definedName name="rngxl11" localSheetId="3">#REF!</definedName>
    <definedName name="rngxl11">#REF!</definedName>
    <definedName name="rngxl13" localSheetId="4">#REF!</definedName>
    <definedName name="rngxl13" localSheetId="6">#REF!</definedName>
    <definedName name="rngxl13" localSheetId="7">#REF!</definedName>
    <definedName name="rngxl13" localSheetId="5">#REF!</definedName>
    <definedName name="rngxl13" localSheetId="12">#REF!</definedName>
    <definedName name="rngxl13" localSheetId="3">#REF!</definedName>
    <definedName name="rngxl13">#REF!</definedName>
    <definedName name="rngxl2" localSheetId="4">#REF!</definedName>
    <definedName name="rngxl2" localSheetId="6">#REF!</definedName>
    <definedName name="rngxl2" localSheetId="7">#REF!</definedName>
    <definedName name="rngxl2" localSheetId="5">#REF!</definedName>
    <definedName name="rngxl2" localSheetId="12">#REF!</definedName>
    <definedName name="rngxl2" localSheetId="3">#REF!</definedName>
    <definedName name="rngxl2">#REF!</definedName>
    <definedName name="rngxl51" localSheetId="4">#REF!</definedName>
    <definedName name="rngxl51" localSheetId="6">#REF!</definedName>
    <definedName name="rngxl51" localSheetId="7">#REF!</definedName>
    <definedName name="rngxl51" localSheetId="5">#REF!</definedName>
    <definedName name="rngxl51" localSheetId="12">#REF!</definedName>
    <definedName name="rngxl51" localSheetId="3">#REF!</definedName>
    <definedName name="rngxl51">#REF!</definedName>
    <definedName name="rngxl9" localSheetId="4">#REF!</definedName>
    <definedName name="rngxl9" localSheetId="6">#REF!</definedName>
    <definedName name="rngxl9" localSheetId="7">#REF!</definedName>
    <definedName name="rngxl9" localSheetId="5">#REF!</definedName>
    <definedName name="rngxl9" localSheetId="12">#REF!</definedName>
    <definedName name="rngxl9" localSheetId="3">#REF!</definedName>
    <definedName name="rngxl9">#REF!</definedName>
    <definedName name="scat_Back_Click" localSheetId="4">'Activity Matrix All Detail'!scat_Back_Click</definedName>
    <definedName name="scat_Back_Click" localSheetId="6">'Activity Matrix CWDC SME'!scat_Back_Click</definedName>
    <definedName name="scat_Back_Click" localSheetId="7">'Activity Matrix DHS SME'!scat_Back_Click</definedName>
    <definedName name="scat_Back_Click" localSheetId="5">'Activity Matrix stat reqs'!scat_Back_Click</definedName>
    <definedName name="scat_Back_Click" localSheetId="15">'Strategic Options'!scat_Back_Click</definedName>
    <definedName name="scat_Back_Click">[2]!scat_Back_Click</definedName>
    <definedName name="scat_Backward_Spinner_Click" localSheetId="4">'Activity Matrix All Detail'!scat_Backward_Spinner_Click</definedName>
    <definedName name="scat_Backward_Spinner_Click" localSheetId="6">'Activity Matrix CWDC SME'!scat_Backward_Spinner_Click</definedName>
    <definedName name="scat_Backward_Spinner_Click" localSheetId="7">'Activity Matrix DHS SME'!scat_Backward_Spinner_Click</definedName>
    <definedName name="scat_Backward_Spinner_Click" localSheetId="5">'Activity Matrix stat reqs'!scat_Backward_Spinner_Click</definedName>
    <definedName name="scat_Backward_Spinner_Click" localSheetId="15">'Strategic Options'!scat_Backward_Spinner_Click</definedName>
    <definedName name="scat_Backward_Spinner_Click">[2]!scat_Backward_Spinner_Click</definedName>
    <definedName name="scat_Cubic_Click" localSheetId="4">'Activity Matrix All Detail'!scat_Cubic_Click</definedName>
    <definedName name="scat_Cubic_Click" localSheetId="6">'Activity Matrix CWDC SME'!scat_Cubic_Click</definedName>
    <definedName name="scat_Cubic_Click" localSheetId="7">'Activity Matrix DHS SME'!scat_Cubic_Click</definedName>
    <definedName name="scat_Cubic_Click" localSheetId="5">'Activity Matrix stat reqs'!scat_Cubic_Click</definedName>
    <definedName name="scat_Cubic_Click" localSheetId="15">'Strategic Options'!scat_Cubic_Click</definedName>
    <definedName name="scat_Cubic_Click">[2]!scat_Cubic_Click</definedName>
    <definedName name="scat_Display_Stats_Click" localSheetId="4">'Activity Matrix All Detail'!scat_Display_Stats_Click</definedName>
    <definedName name="scat_Display_Stats_Click" localSheetId="6">'Activity Matrix CWDC SME'!scat_Display_Stats_Click</definedName>
    <definedName name="scat_Display_Stats_Click" localSheetId="7">'Activity Matrix DHS SME'!scat_Display_Stats_Click</definedName>
    <definedName name="scat_Display_Stats_Click" localSheetId="5">'Activity Matrix stat reqs'!scat_Display_Stats_Click</definedName>
    <definedName name="scat_Display_Stats_Click" localSheetId="15">'Strategic Options'!scat_Display_Stats_Click</definedName>
    <definedName name="scat_Display_Stats_Click">[2]!scat_Display_Stats_Click</definedName>
    <definedName name="scat_Forward_Spinner_Click" localSheetId="4">'Activity Matrix All Detail'!scat_Forward_Spinner_Click</definedName>
    <definedName name="scat_Forward_Spinner_Click" localSheetId="6">'Activity Matrix CWDC SME'!scat_Forward_Spinner_Click</definedName>
    <definedName name="scat_Forward_Spinner_Click" localSheetId="7">'Activity Matrix DHS SME'!scat_Forward_Spinner_Click</definedName>
    <definedName name="scat_Forward_Spinner_Click" localSheetId="5">'Activity Matrix stat reqs'!scat_Forward_Spinner_Click</definedName>
    <definedName name="scat_Forward_Spinner_Click" localSheetId="15">'Strategic Options'!scat_Forward_Spinner_Click</definedName>
    <definedName name="scat_Forward_Spinner_Click">[2]!scat_Forward_Spinner_Click</definedName>
    <definedName name="scat_Linear_Click" localSheetId="4">'Activity Matrix All Detail'!scat_Linear_Click</definedName>
    <definedName name="scat_Linear_Click" localSheetId="6">'Activity Matrix CWDC SME'!scat_Linear_Click</definedName>
    <definedName name="scat_Linear_Click" localSheetId="7">'Activity Matrix DHS SME'!scat_Linear_Click</definedName>
    <definedName name="scat_Linear_Click" localSheetId="5">'Activity Matrix stat reqs'!scat_Linear_Click</definedName>
    <definedName name="scat_Linear_Click" localSheetId="15">'Strategic Options'!scat_Linear_Click</definedName>
    <definedName name="scat_Linear_Click">[2]!scat_Linear_Click</definedName>
    <definedName name="scat_No_Line_Click" localSheetId="4">'Activity Matrix All Detail'!scat_No_Line_Click</definedName>
    <definedName name="scat_No_Line_Click" localSheetId="6">'Activity Matrix CWDC SME'!scat_No_Line_Click</definedName>
    <definedName name="scat_No_Line_Click" localSheetId="7">'Activity Matrix DHS SME'!scat_No_Line_Click</definedName>
    <definedName name="scat_No_Line_Click" localSheetId="5">'Activity Matrix stat reqs'!scat_No_Line_Click</definedName>
    <definedName name="scat_No_Line_Click" localSheetId="15">'Strategic Options'!scat_No_Line_Click</definedName>
    <definedName name="scat_No_Line_Click">[2]!scat_No_Line_Click</definedName>
    <definedName name="scat_Quadratic_Click" localSheetId="4">'Activity Matrix All Detail'!scat_Quadratic_Click</definedName>
    <definedName name="scat_Quadratic_Click" localSheetId="6">'Activity Matrix CWDC SME'!scat_Quadratic_Click</definedName>
    <definedName name="scat_Quadratic_Click" localSheetId="7">'Activity Matrix DHS SME'!scat_Quadratic_Click</definedName>
    <definedName name="scat_Quadratic_Click" localSheetId="5">'Activity Matrix stat reqs'!scat_Quadratic_Click</definedName>
    <definedName name="scat_Quadratic_Click" localSheetId="15">'Strategic Options'!scat_Quadratic_Click</definedName>
    <definedName name="scat_Quadratic_Click">[2]!scat_Quadratic_Click</definedName>
    <definedName name="scat_Save_Defaults" localSheetId="4">'Activity Matrix All Detail'!scat_Save_Defaults</definedName>
    <definedName name="scat_Save_Defaults" localSheetId="6">'Activity Matrix CWDC SME'!scat_Save_Defaults</definedName>
    <definedName name="scat_Save_Defaults" localSheetId="7">'Activity Matrix DHS SME'!scat_Save_Defaults</definedName>
    <definedName name="scat_Save_Defaults" localSheetId="5">'Activity Matrix stat reqs'!scat_Save_Defaults</definedName>
    <definedName name="scat_Save_Defaults" localSheetId="15">'Strategic Options'!scat_Save_Defaults</definedName>
    <definedName name="scat_Save_Defaults">[2]!scat_Save_Defaults</definedName>
    <definedName name="scatButton_Click" localSheetId="4">'Activity Matrix All Detail'!scatButton_Click</definedName>
    <definedName name="scatButton_Click" localSheetId="6">'Activity Matrix CWDC SME'!scatButton_Click</definedName>
    <definedName name="scatButton_Click" localSheetId="7">'Activity Matrix DHS SME'!scatButton_Click</definedName>
    <definedName name="scatButton_Click" localSheetId="5">'Activity Matrix stat reqs'!scatButton_Click</definedName>
    <definedName name="scatButton_Click" localSheetId="15">'Strategic Options'!scatButton_Click</definedName>
    <definedName name="scatButton_Click">[2]!scatButton_Click</definedName>
    <definedName name="Small_Back_Click" localSheetId="4">'Activity Matrix All Detail'!Small_Back_Click</definedName>
    <definedName name="Small_Back_Click" localSheetId="6">'Activity Matrix CWDC SME'!Small_Back_Click</definedName>
    <definedName name="Small_Back_Click" localSheetId="7">'Activity Matrix DHS SME'!Small_Back_Click</definedName>
    <definedName name="Small_Back_Click" localSheetId="5">'Activity Matrix stat reqs'!Small_Back_Click</definedName>
    <definedName name="Small_Back_Click" localSheetId="15">'Strategic Options'!Small_Back_Click</definedName>
    <definedName name="Small_Back_Click">[2]!Small_Back_Click</definedName>
    <definedName name="Small_Back_Click_" localSheetId="4">'Activity Matrix All Detail'!Small_Back_Click_</definedName>
    <definedName name="Small_Back_Click_" localSheetId="6">'Activity Matrix CWDC SME'!Small_Back_Click_</definedName>
    <definedName name="Small_Back_Click_" localSheetId="7">'Activity Matrix DHS SME'!Small_Back_Click_</definedName>
    <definedName name="Small_Back_Click_" localSheetId="5">'Activity Matrix stat reqs'!Small_Back_Click_</definedName>
    <definedName name="Small_Back_Click_" localSheetId="15">'Strategic Options'!Small_Back_Click_</definedName>
    <definedName name="Small_Back_Click_">[2]!Small_Back_Click_</definedName>
    <definedName name="StartValue">0.475</definedName>
    <definedName name="statButton_Click" localSheetId="4">'Activity Matrix All Detail'!statButton_Click</definedName>
    <definedName name="statButton_Click" localSheetId="6">'Activity Matrix CWDC SME'!statButton_Click</definedName>
    <definedName name="statButton_Click" localSheetId="7">'Activity Matrix DHS SME'!statButton_Click</definedName>
    <definedName name="statButton_Click" localSheetId="5">'Activity Matrix stat reqs'!statButton_Click</definedName>
    <definedName name="statButton_Click" localSheetId="15">'Strategic Options'!statButton_Click</definedName>
    <definedName name="statButton_Click">[2]!statButton_Click</definedName>
    <definedName name="StepValue">0.001</definedName>
    <definedName name="totalSource">OFFSET('[4]Rough data'!$G$3,0,0,COUNTA('[4]Rough data'!$G$1:$G$65536),1)</definedName>
    <definedName name="tTestBaseCell" localSheetId="4">#REF!</definedName>
    <definedName name="tTestBaseCell" localSheetId="6">#REF!</definedName>
    <definedName name="tTestBaseCell" localSheetId="7">#REF!</definedName>
    <definedName name="tTestBaseCell" localSheetId="5">#REF!</definedName>
    <definedName name="tTestBaseCell" localSheetId="12">#REF!</definedName>
    <definedName name="tTestBaseCell" localSheetId="3">#REF!</definedName>
    <definedName name="tTestBaseCell" localSheetId="15">#REF!</definedName>
    <definedName name="tTestBaseCell" localSheetId="0">#REF!</definedName>
    <definedName name="tTestBaseCell">#REF!</definedName>
    <definedName name="Width">4</definedName>
    <definedName name="xLabelSource" localSheetId="4">OFFSET(#REF!,0,0,COUNTA(#REF!),1)</definedName>
    <definedName name="xLabelSource" localSheetId="6">OFFSET(#REF!,0,0,COUNTA(#REF!),1)</definedName>
    <definedName name="xLabelSource" localSheetId="7">OFFSET(#REF!,0,0,COUNTA(#REF!),1)</definedName>
    <definedName name="xLabelSource" localSheetId="5">OFFSET(#REF!,0,0,COUNTA(#REF!),1)</definedName>
    <definedName name="xLabelSource" localSheetId="12">OFFSET(#REF!,0,0,COUNTA(#REF!),1)</definedName>
    <definedName name="xLabelSource" localSheetId="3">OFFSET(#REF!,0,0,COUNTA(#REF!),1)</definedName>
    <definedName name="xLabelSource" localSheetId="15">OFFSET(#REF!,0,0,COUNTA(#REF!),1)</definedName>
    <definedName name="xLabelSource" localSheetId="0">OFFSET(#REF!,0,0,COUNTA(#REF!),1)</definedName>
    <definedName name="xLabelSource">OFFSET(#REF!,0,0,COUNTA(#REF!),1)</definedName>
    <definedName name="xlrng" localSheetId="4">#REF!</definedName>
    <definedName name="xlrng" localSheetId="6">#REF!</definedName>
    <definedName name="xlrng" localSheetId="7">#REF!</definedName>
    <definedName name="xlrng" localSheetId="5">#REF!</definedName>
    <definedName name="xlrng" localSheetId="12">#REF!</definedName>
    <definedName name="xlrng" localSheetId="3">#REF!</definedName>
    <definedName name="xlrng" localSheetId="15">#REF!</definedName>
    <definedName name="xlrng" localSheetId="0">#REF!</definedName>
    <definedName name="xlrng">#REF!</definedName>
    <definedName name="xSource">OFFSET('[3]Rough data'!$A$1,0,0,MATCH(1E+306,'[3]Rough data'!$B$1:$B$65536,1),1)</definedName>
  </definedNames>
  <calcPr calcId="144525"/>
</workbook>
</file>

<file path=xl/calcChain.xml><?xml version="1.0" encoding="utf-8"?>
<calcChain xmlns="http://schemas.openxmlformats.org/spreadsheetml/2006/main">
  <c r="BF179" i="48" l="1"/>
  <c r="BE179" i="48"/>
  <c r="BD179" i="48"/>
  <c r="BC179" i="48"/>
  <c r="BB179" i="48"/>
  <c r="AW179" i="48"/>
  <c r="AV179" i="48"/>
  <c r="AU179" i="48"/>
  <c r="AT179" i="48"/>
  <c r="AS179" i="48"/>
  <c r="AR179" i="48"/>
  <c r="AQ179" i="48"/>
  <c r="AL179" i="48"/>
  <c r="AK179" i="48"/>
  <c r="AJ179" i="48"/>
  <c r="AI179" i="48"/>
  <c r="AH179" i="48"/>
  <c r="AG179" i="48"/>
  <c r="AB179" i="48"/>
  <c r="AA179" i="48"/>
  <c r="Z179" i="48"/>
  <c r="Y179" i="48"/>
  <c r="X179" i="48"/>
  <c r="W179" i="48"/>
  <c r="V179" i="48"/>
  <c r="U179" i="48"/>
  <c r="P179" i="48"/>
  <c r="O179" i="48"/>
  <c r="N179" i="48"/>
  <c r="M179" i="48"/>
  <c r="BF178" i="48"/>
  <c r="BE178" i="48"/>
  <c r="BD178" i="48"/>
  <c r="BC178" i="48"/>
  <c r="BB178" i="48"/>
  <c r="AW178" i="48"/>
  <c r="AV178" i="48"/>
  <c r="AU178" i="48"/>
  <c r="AT178" i="48"/>
  <c r="AS178" i="48"/>
  <c r="AR178" i="48"/>
  <c r="AQ178" i="48"/>
  <c r="AL178" i="48"/>
  <c r="AK178" i="48"/>
  <c r="AJ178" i="48"/>
  <c r="AI178" i="48"/>
  <c r="AH178" i="48"/>
  <c r="AG178" i="48"/>
  <c r="AB178" i="48"/>
  <c r="AA178" i="48"/>
  <c r="Z178" i="48"/>
  <c r="Y178" i="48"/>
  <c r="X178" i="48"/>
  <c r="W178" i="48"/>
  <c r="V178" i="48"/>
  <c r="U178" i="48"/>
  <c r="P178" i="48"/>
  <c r="O178" i="48"/>
  <c r="N178" i="48"/>
  <c r="M178" i="48"/>
  <c r="BA177" i="48"/>
  <c r="AZ177" i="48"/>
  <c r="AY177" i="48" s="1"/>
  <c r="AX177" i="48" s="1"/>
  <c r="AP177" i="48"/>
  <c r="AO177" i="48"/>
  <c r="AN177" i="48" s="1"/>
  <c r="AM177" i="48" s="1"/>
  <c r="AF177" i="48"/>
  <c r="AE177" i="48"/>
  <c r="T177" i="48"/>
  <c r="H177" i="48" s="1"/>
  <c r="F177" i="48" s="1"/>
  <c r="S177" i="48"/>
  <c r="L177" i="48"/>
  <c r="K177" i="48"/>
  <c r="J177" i="48" s="1"/>
  <c r="I177" i="48" s="1"/>
  <c r="G177" i="48"/>
  <c r="E177" i="48" s="1"/>
  <c r="D177" i="48" s="1"/>
  <c r="BA176" i="48"/>
  <c r="AZ176" i="48"/>
  <c r="AP176" i="48"/>
  <c r="AO176" i="48"/>
  <c r="AN176" i="48" s="1"/>
  <c r="AM176" i="48" s="1"/>
  <c r="AF176" i="48"/>
  <c r="AE176" i="48"/>
  <c r="T176" i="48"/>
  <c r="S176" i="48"/>
  <c r="L176" i="48"/>
  <c r="K176" i="48"/>
  <c r="H176" i="48"/>
  <c r="F176" i="48" s="1"/>
  <c r="G176" i="48"/>
  <c r="E176" i="48" s="1"/>
  <c r="D176" i="48" s="1"/>
  <c r="BA175" i="48"/>
  <c r="AY175" i="48" s="1"/>
  <c r="AZ175" i="48"/>
  <c r="AX175" i="48"/>
  <c r="AP175" i="48"/>
  <c r="AN175" i="48" s="1"/>
  <c r="AO175" i="48"/>
  <c r="AM175" i="48"/>
  <c r="AF175" i="48"/>
  <c r="AE175" i="48"/>
  <c r="T175" i="48"/>
  <c r="S175" i="48"/>
  <c r="G175" i="48" s="1"/>
  <c r="L175" i="48"/>
  <c r="J175" i="48" s="1"/>
  <c r="I175" i="48" s="1"/>
  <c r="K175" i="48"/>
  <c r="H175" i="48"/>
  <c r="F175" i="48" s="1"/>
  <c r="E175" i="48"/>
  <c r="D175" i="48" s="1"/>
  <c r="BA174" i="48"/>
  <c r="AZ174" i="48"/>
  <c r="AY174" i="48"/>
  <c r="AX174" i="48" s="1"/>
  <c r="AP174" i="48"/>
  <c r="AO174" i="48"/>
  <c r="AN174" i="48"/>
  <c r="AM174" i="48" s="1"/>
  <c r="AF174" i="48"/>
  <c r="AE174" i="48"/>
  <c r="T174" i="48"/>
  <c r="H174" i="48" s="1"/>
  <c r="F174" i="48" s="1"/>
  <c r="S174" i="48"/>
  <c r="G174" i="48" s="1"/>
  <c r="E174" i="48" s="1"/>
  <c r="L174" i="48"/>
  <c r="K174" i="48"/>
  <c r="J174" i="48"/>
  <c r="I174" i="48" s="1"/>
  <c r="BA173" i="48"/>
  <c r="AZ173" i="48"/>
  <c r="AY173" i="48" s="1"/>
  <c r="AX173" i="48" s="1"/>
  <c r="AP173" i="48"/>
  <c r="AO173" i="48"/>
  <c r="AN173" i="48" s="1"/>
  <c r="AM173" i="48" s="1"/>
  <c r="AF173" i="48"/>
  <c r="AE173" i="48"/>
  <c r="T173" i="48"/>
  <c r="H173" i="48" s="1"/>
  <c r="F173" i="48" s="1"/>
  <c r="S173" i="48"/>
  <c r="L173" i="48"/>
  <c r="K173" i="48"/>
  <c r="BA172" i="48"/>
  <c r="AZ172" i="48"/>
  <c r="AY172" i="48" s="1"/>
  <c r="AX172" i="48" s="1"/>
  <c r="AP172" i="48"/>
  <c r="H172" i="48" s="1"/>
  <c r="F172" i="48" s="1"/>
  <c r="AO172" i="48"/>
  <c r="AF172" i="48"/>
  <c r="AE172" i="48"/>
  <c r="T172" i="48"/>
  <c r="S172" i="48"/>
  <c r="L172" i="48"/>
  <c r="K172" i="48"/>
  <c r="J172" i="48" s="1"/>
  <c r="I172" i="48" s="1"/>
  <c r="G172" i="48"/>
  <c r="E172" i="48" s="1"/>
  <c r="BA171" i="48"/>
  <c r="AY171" i="48" s="1"/>
  <c r="AX171" i="48" s="1"/>
  <c r="AZ171" i="48"/>
  <c r="AP171" i="48"/>
  <c r="AN171" i="48" s="1"/>
  <c r="AO171" i="48"/>
  <c r="AM171" i="48"/>
  <c r="AF171" i="48"/>
  <c r="AE171" i="48"/>
  <c r="T171" i="48"/>
  <c r="S171" i="48"/>
  <c r="G171" i="48" s="1"/>
  <c r="E171" i="48" s="1"/>
  <c r="L171" i="48"/>
  <c r="J171" i="48" s="1"/>
  <c r="K171" i="48"/>
  <c r="I171" i="48"/>
  <c r="H171" i="48"/>
  <c r="F171" i="48" s="1"/>
  <c r="BA170" i="48"/>
  <c r="AZ170" i="48"/>
  <c r="AY170" i="48"/>
  <c r="AX170" i="48" s="1"/>
  <c r="AP170" i="48"/>
  <c r="AO170" i="48"/>
  <c r="AN170" i="48"/>
  <c r="AM170" i="48" s="1"/>
  <c r="AF170" i="48"/>
  <c r="AE170" i="48"/>
  <c r="T170" i="48"/>
  <c r="H170" i="48" s="1"/>
  <c r="S170" i="48"/>
  <c r="G170" i="48" s="1"/>
  <c r="E170" i="48" s="1"/>
  <c r="L170" i="48"/>
  <c r="K170" i="48"/>
  <c r="J170" i="48"/>
  <c r="I170" i="48" s="1"/>
  <c r="F170" i="48"/>
  <c r="BA169" i="48"/>
  <c r="AZ169" i="48"/>
  <c r="AY169" i="48" s="1"/>
  <c r="AX169" i="48" s="1"/>
  <c r="AP169" i="48"/>
  <c r="AO169" i="48"/>
  <c r="AN169" i="48" s="1"/>
  <c r="AM169" i="48" s="1"/>
  <c r="AF169" i="48"/>
  <c r="AE169" i="48"/>
  <c r="T169" i="48"/>
  <c r="H169" i="48" s="1"/>
  <c r="F169" i="48" s="1"/>
  <c r="S169" i="48"/>
  <c r="L169" i="48"/>
  <c r="K169" i="48"/>
  <c r="J169" i="48" s="1"/>
  <c r="I169" i="48" s="1"/>
  <c r="BA168" i="48"/>
  <c r="AZ168" i="48"/>
  <c r="AY168" i="48" s="1"/>
  <c r="AX168" i="48" s="1"/>
  <c r="AP168" i="48"/>
  <c r="AO168" i="48"/>
  <c r="AF168" i="48"/>
  <c r="AE168" i="48"/>
  <c r="T168" i="48"/>
  <c r="S168" i="48"/>
  <c r="L168" i="48"/>
  <c r="H168" i="48" s="1"/>
  <c r="F168" i="48" s="1"/>
  <c r="D168" i="48" s="1"/>
  <c r="K168" i="48"/>
  <c r="J168" i="48" s="1"/>
  <c r="I168" i="48" s="1"/>
  <c r="G168" i="48"/>
  <c r="E168" i="48" s="1"/>
  <c r="BA167" i="48"/>
  <c r="AY167" i="48" s="1"/>
  <c r="AX167" i="48" s="1"/>
  <c r="AZ167" i="48"/>
  <c r="AP167" i="48"/>
  <c r="AN167" i="48" s="1"/>
  <c r="AM167" i="48" s="1"/>
  <c r="AO167" i="48"/>
  <c r="AF167" i="48"/>
  <c r="AE167" i="48"/>
  <c r="T167" i="48"/>
  <c r="S167" i="48"/>
  <c r="G167" i="48" s="1"/>
  <c r="E167" i="48" s="1"/>
  <c r="D167" i="48" s="1"/>
  <c r="L167" i="48"/>
  <c r="J167" i="48" s="1"/>
  <c r="K167" i="48"/>
  <c r="I167" i="48"/>
  <c r="H167" i="48"/>
  <c r="F167" i="48" s="1"/>
  <c r="BE162" i="48"/>
  <c r="BD162" i="48"/>
  <c r="BC162" i="48"/>
  <c r="BB162" i="48"/>
  <c r="AW162" i="48"/>
  <c r="AV162" i="48"/>
  <c r="AU162" i="48"/>
  <c r="AT162" i="48"/>
  <c r="AS162" i="48"/>
  <c r="AR162" i="48"/>
  <c r="AQ162" i="48"/>
  <c r="AL162" i="48"/>
  <c r="AK162" i="48"/>
  <c r="AJ162" i="48"/>
  <c r="AI162" i="48"/>
  <c r="AH162" i="48"/>
  <c r="AG162" i="48"/>
  <c r="AB162" i="48"/>
  <c r="AA162" i="48"/>
  <c r="Z162" i="48"/>
  <c r="Y162" i="48"/>
  <c r="X162" i="48"/>
  <c r="W162" i="48"/>
  <c r="V162" i="48"/>
  <c r="U162" i="48"/>
  <c r="P162" i="48"/>
  <c r="O162" i="48"/>
  <c r="N162" i="48"/>
  <c r="M162" i="48"/>
  <c r="BE161" i="48"/>
  <c r="BD161" i="48"/>
  <c r="BC161" i="48"/>
  <c r="BB161" i="48"/>
  <c r="AW161" i="48"/>
  <c r="AV161" i="48"/>
  <c r="AU161" i="48"/>
  <c r="AT161" i="48"/>
  <c r="AS161" i="48"/>
  <c r="AR161" i="48"/>
  <c r="AQ161" i="48"/>
  <c r="AL161" i="48"/>
  <c r="AK161" i="48"/>
  <c r="AJ161" i="48"/>
  <c r="AI161" i="48"/>
  <c r="AH161" i="48"/>
  <c r="AG161" i="48"/>
  <c r="AB161" i="48"/>
  <c r="AA161" i="48"/>
  <c r="Z161" i="48"/>
  <c r="Y161" i="48"/>
  <c r="X161" i="48"/>
  <c r="W161" i="48"/>
  <c r="V161" i="48"/>
  <c r="U161" i="48"/>
  <c r="P161" i="48"/>
  <c r="O161" i="48"/>
  <c r="N161" i="48"/>
  <c r="M161" i="48"/>
  <c r="BA160" i="48"/>
  <c r="AZ160" i="48"/>
  <c r="AP160" i="48"/>
  <c r="AO160" i="48"/>
  <c r="AN160" i="48" s="1"/>
  <c r="AM160" i="48" s="1"/>
  <c r="AF160" i="48"/>
  <c r="AE160" i="48"/>
  <c r="T160" i="48"/>
  <c r="S160" i="48"/>
  <c r="R160" i="48"/>
  <c r="Q160" i="48" s="1"/>
  <c r="L160" i="48"/>
  <c r="K160" i="48"/>
  <c r="J160" i="48"/>
  <c r="I160" i="48" s="1"/>
  <c r="BA159" i="48"/>
  <c r="AZ159" i="48"/>
  <c r="AY159" i="48"/>
  <c r="AX159" i="48" s="1"/>
  <c r="AP159" i="48"/>
  <c r="AO159" i="48"/>
  <c r="AF159" i="48"/>
  <c r="AE159" i="48"/>
  <c r="G159" i="48" s="1"/>
  <c r="E159" i="48" s="1"/>
  <c r="T159" i="48"/>
  <c r="S159" i="48"/>
  <c r="R159" i="48"/>
  <c r="Q159" i="48"/>
  <c r="L159" i="48"/>
  <c r="K159" i="48"/>
  <c r="J159" i="48"/>
  <c r="I159" i="48"/>
  <c r="BA158" i="48"/>
  <c r="AZ158" i="48"/>
  <c r="AY158" i="48"/>
  <c r="AX158" i="48"/>
  <c r="AP158" i="48"/>
  <c r="AO158" i="48"/>
  <c r="AN158" i="48"/>
  <c r="AM158" i="48"/>
  <c r="AF158" i="48"/>
  <c r="AE158" i="48"/>
  <c r="T158" i="48"/>
  <c r="H158" i="48" s="1"/>
  <c r="F158" i="48" s="1"/>
  <c r="S158" i="48"/>
  <c r="R158" i="48" s="1"/>
  <c r="Q158" i="48" s="1"/>
  <c r="L158" i="48"/>
  <c r="K158" i="48"/>
  <c r="J158" i="48" s="1"/>
  <c r="I158" i="48"/>
  <c r="BA157" i="48"/>
  <c r="AZ157" i="48"/>
  <c r="AY157" i="48"/>
  <c r="AX157" i="48"/>
  <c r="AP157" i="48"/>
  <c r="AO157" i="48"/>
  <c r="AN157" i="48"/>
  <c r="AM157" i="48"/>
  <c r="AF157" i="48"/>
  <c r="AE157" i="48"/>
  <c r="T157" i="48"/>
  <c r="H157" i="48" s="1"/>
  <c r="F157" i="48" s="1"/>
  <c r="S157" i="48"/>
  <c r="R157" i="48" s="1"/>
  <c r="Q157" i="48" s="1"/>
  <c r="L157" i="48"/>
  <c r="K157" i="48"/>
  <c r="J157" i="48"/>
  <c r="I157" i="48" s="1"/>
  <c r="BA156" i="48"/>
  <c r="AZ156" i="48"/>
  <c r="AP156" i="48"/>
  <c r="AO156" i="48"/>
  <c r="AF156" i="48"/>
  <c r="AE156" i="48"/>
  <c r="G156" i="48" s="1"/>
  <c r="E156" i="48" s="1"/>
  <c r="T156" i="48"/>
  <c r="S156" i="48"/>
  <c r="R156" i="48"/>
  <c r="Q156" i="48"/>
  <c r="L156" i="48"/>
  <c r="K156" i="48"/>
  <c r="J156" i="48"/>
  <c r="I156" i="48"/>
  <c r="BA155" i="48"/>
  <c r="AZ155" i="48"/>
  <c r="AY155" i="48" s="1"/>
  <c r="AX155" i="48" s="1"/>
  <c r="AP155" i="48"/>
  <c r="AO155" i="48"/>
  <c r="AN155" i="48" s="1"/>
  <c r="AM155" i="48" s="1"/>
  <c r="AF155" i="48"/>
  <c r="AE155" i="48"/>
  <c r="T155" i="48"/>
  <c r="R155" i="48" s="1"/>
  <c r="Q155" i="48" s="1"/>
  <c r="S155" i="48"/>
  <c r="L155" i="48"/>
  <c r="J155" i="48" s="1"/>
  <c r="I155" i="48" s="1"/>
  <c r="K155" i="48"/>
  <c r="BA154" i="48"/>
  <c r="AZ154" i="48"/>
  <c r="AY154" i="48" s="1"/>
  <c r="AX154" i="48" s="1"/>
  <c r="AP154" i="48"/>
  <c r="AO154" i="48"/>
  <c r="AN154" i="48" s="1"/>
  <c r="AM154" i="48" s="1"/>
  <c r="AF154" i="48"/>
  <c r="AE154" i="48"/>
  <c r="T154" i="48"/>
  <c r="S154" i="48"/>
  <c r="R154" i="48" s="1"/>
  <c r="Q154" i="48"/>
  <c r="L154" i="48"/>
  <c r="K154" i="48"/>
  <c r="H154" i="48"/>
  <c r="F154" i="48" s="1"/>
  <c r="BA153" i="48"/>
  <c r="AY153" i="48" s="1"/>
  <c r="AX153" i="48" s="1"/>
  <c r="AZ153" i="48"/>
  <c r="AP153" i="48"/>
  <c r="AO153" i="48"/>
  <c r="AF153" i="48"/>
  <c r="AE153" i="48"/>
  <c r="T153" i="48"/>
  <c r="S153" i="48"/>
  <c r="G153" i="48" s="1"/>
  <c r="E153" i="48" s="1"/>
  <c r="R153" i="48"/>
  <c r="Q153" i="48" s="1"/>
  <c r="L153" i="48"/>
  <c r="K153" i="48"/>
  <c r="J153" i="48"/>
  <c r="I153" i="48" s="1"/>
  <c r="BA152" i="48"/>
  <c r="AZ152" i="48"/>
  <c r="AP152" i="48"/>
  <c r="AO152" i="48"/>
  <c r="AN152" i="48" s="1"/>
  <c r="AM152" i="48" s="1"/>
  <c r="AF152" i="48"/>
  <c r="AE152" i="48"/>
  <c r="T152" i="48"/>
  <c r="S152" i="48"/>
  <c r="R152" i="48" s="1"/>
  <c r="Q152" i="48" s="1"/>
  <c r="L152" i="48"/>
  <c r="K152" i="48"/>
  <c r="J152" i="48" s="1"/>
  <c r="I152" i="48" s="1"/>
  <c r="BF151" i="48"/>
  <c r="BE151" i="48"/>
  <c r="BD151" i="48"/>
  <c r="BC151" i="48"/>
  <c r="BB151" i="48"/>
  <c r="AW151" i="48"/>
  <c r="AV151" i="48"/>
  <c r="AU151" i="48"/>
  <c r="AT151" i="48"/>
  <c r="AS151" i="48"/>
  <c r="AR151" i="48"/>
  <c r="AQ151" i="48"/>
  <c r="AL151" i="48"/>
  <c r="AK151" i="48"/>
  <c r="AJ151" i="48"/>
  <c r="AI151" i="48"/>
  <c r="AH151" i="48"/>
  <c r="AG151" i="48"/>
  <c r="AB151" i="48"/>
  <c r="AA151" i="48"/>
  <c r="Z151" i="48"/>
  <c r="Y151" i="48"/>
  <c r="X151" i="48"/>
  <c r="W151" i="48"/>
  <c r="V151" i="48"/>
  <c r="U151" i="48"/>
  <c r="P151" i="48"/>
  <c r="O151" i="48"/>
  <c r="N151" i="48"/>
  <c r="M151" i="48"/>
  <c r="BF150" i="48"/>
  <c r="BE150" i="48"/>
  <c r="BD150" i="48"/>
  <c r="BC150" i="48"/>
  <c r="BB150" i="48"/>
  <c r="AW150" i="48"/>
  <c r="AV150" i="48"/>
  <c r="AU150" i="48"/>
  <c r="AT150" i="48"/>
  <c r="AS150" i="48"/>
  <c r="AR150" i="48"/>
  <c r="AQ150" i="48"/>
  <c r="AL150" i="48"/>
  <c r="AK150" i="48"/>
  <c r="AJ150" i="48"/>
  <c r="AI150" i="48"/>
  <c r="AH150" i="48"/>
  <c r="AG150" i="48"/>
  <c r="AB150" i="48"/>
  <c r="AA150" i="48"/>
  <c r="Z150" i="48"/>
  <c r="Y150" i="48"/>
  <c r="X150" i="48"/>
  <c r="W150" i="48"/>
  <c r="V150" i="48"/>
  <c r="U150" i="48"/>
  <c r="P150" i="48"/>
  <c r="O150" i="48"/>
  <c r="N150" i="48"/>
  <c r="M150" i="48"/>
  <c r="BA149" i="48"/>
  <c r="AZ149" i="48"/>
  <c r="AY149" i="48" s="1"/>
  <c r="AX149" i="48" s="1"/>
  <c r="AP149" i="48"/>
  <c r="AO149" i="48"/>
  <c r="AN149" i="48"/>
  <c r="AM149" i="48" s="1"/>
  <c r="AF149" i="48"/>
  <c r="AE149" i="48"/>
  <c r="T149" i="48"/>
  <c r="R149" i="48" s="1"/>
  <c r="Q149" i="48" s="1"/>
  <c r="S149" i="48"/>
  <c r="L149" i="48"/>
  <c r="J149" i="48" s="1"/>
  <c r="I149" i="48" s="1"/>
  <c r="K149" i="48"/>
  <c r="H149" i="48"/>
  <c r="F149" i="48"/>
  <c r="BA148" i="48"/>
  <c r="AZ148" i="48"/>
  <c r="AY148" i="48" s="1"/>
  <c r="AX148" i="48" s="1"/>
  <c r="AP148" i="48"/>
  <c r="AO148" i="48"/>
  <c r="AN148" i="48" s="1"/>
  <c r="AM148" i="48" s="1"/>
  <c r="AF148" i="48"/>
  <c r="AE148" i="48"/>
  <c r="G148" i="48" s="1"/>
  <c r="E148" i="48" s="1"/>
  <c r="D148" i="48" s="1"/>
  <c r="T148" i="48"/>
  <c r="S148" i="48"/>
  <c r="L148" i="48"/>
  <c r="H148" i="48" s="1"/>
  <c r="F148" i="48" s="1"/>
  <c r="K148" i="48"/>
  <c r="BA147" i="48"/>
  <c r="AY147" i="48" s="1"/>
  <c r="AX147" i="48" s="1"/>
  <c r="AZ147" i="48"/>
  <c r="AP147" i="48"/>
  <c r="AN147" i="48" s="1"/>
  <c r="AM147" i="48" s="1"/>
  <c r="AO147" i="48"/>
  <c r="AF147" i="48"/>
  <c r="AE147" i="48"/>
  <c r="T147" i="48"/>
  <c r="S147" i="48"/>
  <c r="R147" i="48"/>
  <c r="Q147" i="48" s="1"/>
  <c r="L147" i="48"/>
  <c r="H147" i="48" s="1"/>
  <c r="F147" i="48" s="1"/>
  <c r="K147" i="48"/>
  <c r="J147" i="48" s="1"/>
  <c r="I147" i="48" s="1"/>
  <c r="G147" i="48"/>
  <c r="E147" i="48" s="1"/>
  <c r="BF146" i="48"/>
  <c r="BE146" i="48"/>
  <c r="BD146" i="48"/>
  <c r="BC146" i="48"/>
  <c r="BB146" i="48"/>
  <c r="AW146" i="48"/>
  <c r="AV146" i="48"/>
  <c r="AU146" i="48"/>
  <c r="AT146" i="48"/>
  <c r="AS146" i="48"/>
  <c r="AR146" i="48"/>
  <c r="AQ146" i="48"/>
  <c r="AL146" i="48"/>
  <c r="AK146" i="48"/>
  <c r="AJ146" i="48"/>
  <c r="AI146" i="48"/>
  <c r="AH146" i="48"/>
  <c r="AG146" i="48"/>
  <c r="AB146" i="48"/>
  <c r="AA146" i="48"/>
  <c r="Z146" i="48"/>
  <c r="Y146" i="48"/>
  <c r="X146" i="48"/>
  <c r="W146" i="48"/>
  <c r="V146" i="48"/>
  <c r="U146" i="48"/>
  <c r="P146" i="48"/>
  <c r="O146" i="48"/>
  <c r="N146" i="48"/>
  <c r="M146" i="48"/>
  <c r="BF145" i="48"/>
  <c r="BE145" i="48"/>
  <c r="BD145" i="48"/>
  <c r="BC145" i="48"/>
  <c r="BB145" i="48"/>
  <c r="AW145" i="48"/>
  <c r="AV145" i="48"/>
  <c r="AU145" i="48"/>
  <c r="AT145" i="48"/>
  <c r="AS145" i="48"/>
  <c r="AR145" i="48"/>
  <c r="AQ145" i="48"/>
  <c r="AL145" i="48"/>
  <c r="AK145" i="48"/>
  <c r="AJ145" i="48"/>
  <c r="AI145" i="48"/>
  <c r="AH145" i="48"/>
  <c r="AG145" i="48"/>
  <c r="AB145" i="48"/>
  <c r="AA145" i="48"/>
  <c r="Z145" i="48"/>
  <c r="Y145" i="48"/>
  <c r="X145" i="48"/>
  <c r="W145" i="48"/>
  <c r="V145" i="48"/>
  <c r="U145" i="48"/>
  <c r="P145" i="48"/>
  <c r="O145" i="48"/>
  <c r="N145" i="48"/>
  <c r="M145" i="48"/>
  <c r="BA144" i="48"/>
  <c r="AZ144" i="48"/>
  <c r="AY144" i="48" s="1"/>
  <c r="AX144" i="48" s="1"/>
  <c r="AP144" i="48"/>
  <c r="AO144" i="48"/>
  <c r="AN144" i="48" s="1"/>
  <c r="AM144" i="48" s="1"/>
  <c r="AF144" i="48"/>
  <c r="H144" i="48" s="1"/>
  <c r="F144" i="48" s="1"/>
  <c r="AE144" i="48"/>
  <c r="G144" i="48" s="1"/>
  <c r="T144" i="48"/>
  <c r="S144" i="48"/>
  <c r="R144" i="48"/>
  <c r="Q144" i="48"/>
  <c r="L144" i="48"/>
  <c r="K144" i="48"/>
  <c r="J144" i="48"/>
  <c r="I144" i="48"/>
  <c r="E144" i="48"/>
  <c r="D144" i="48" s="1"/>
  <c r="BA143" i="48"/>
  <c r="AZ143" i="48"/>
  <c r="AY143" i="48"/>
  <c r="AX143" i="48" s="1"/>
  <c r="AP143" i="48"/>
  <c r="AO143" i="48"/>
  <c r="AN143" i="48"/>
  <c r="AM143" i="48" s="1"/>
  <c r="AF143" i="48"/>
  <c r="AE143" i="48"/>
  <c r="G143" i="48" s="1"/>
  <c r="E143" i="48" s="1"/>
  <c r="T143" i="48"/>
  <c r="R143" i="48" s="1"/>
  <c r="S143" i="48"/>
  <c r="Q143" i="48"/>
  <c r="L143" i="48"/>
  <c r="K143" i="48"/>
  <c r="BA142" i="48"/>
  <c r="AZ142" i="48"/>
  <c r="AY142" i="48"/>
  <c r="AX142" i="48" s="1"/>
  <c r="AP142" i="48"/>
  <c r="AO142" i="48"/>
  <c r="AN142" i="48"/>
  <c r="AM142" i="48" s="1"/>
  <c r="AF142" i="48"/>
  <c r="AE142" i="48"/>
  <c r="T142" i="48"/>
  <c r="S142" i="48"/>
  <c r="L142" i="48"/>
  <c r="K142" i="48"/>
  <c r="J142" i="48" s="1"/>
  <c r="I142" i="48" s="1"/>
  <c r="H142" i="48"/>
  <c r="F142" i="48" s="1"/>
  <c r="BA141" i="48"/>
  <c r="AY141" i="48" s="1"/>
  <c r="AX141" i="48" s="1"/>
  <c r="AZ141" i="48"/>
  <c r="AP141" i="48"/>
  <c r="AN141" i="48" s="1"/>
  <c r="AO141" i="48"/>
  <c r="AM141" i="48"/>
  <c r="AF141" i="48"/>
  <c r="AE141" i="48"/>
  <c r="T141" i="48"/>
  <c r="S141" i="48"/>
  <c r="R141" i="48" s="1"/>
  <c r="Q141" i="48" s="1"/>
  <c r="L141" i="48"/>
  <c r="K141" i="48"/>
  <c r="J141" i="48"/>
  <c r="I141" i="48" s="1"/>
  <c r="BA140" i="48"/>
  <c r="AZ140" i="48"/>
  <c r="AY140" i="48" s="1"/>
  <c r="AX140" i="48" s="1"/>
  <c r="AP140" i="48"/>
  <c r="AO140" i="48"/>
  <c r="AN140" i="48" s="1"/>
  <c r="AM140" i="48" s="1"/>
  <c r="AF140" i="48"/>
  <c r="H140" i="48" s="1"/>
  <c r="F140" i="48" s="1"/>
  <c r="AE140" i="48"/>
  <c r="G140" i="48" s="1"/>
  <c r="E140" i="48" s="1"/>
  <c r="T140" i="48"/>
  <c r="S140" i="48"/>
  <c r="R140" i="48"/>
  <c r="Q140" i="48"/>
  <c r="L140" i="48"/>
  <c r="K140" i="48"/>
  <c r="J140" i="48"/>
  <c r="I140" i="48"/>
  <c r="BA139" i="48"/>
  <c r="AZ139" i="48"/>
  <c r="AY139" i="48" s="1"/>
  <c r="AX139" i="48" s="1"/>
  <c r="AP139" i="48"/>
  <c r="AO139" i="48"/>
  <c r="AN139" i="48"/>
  <c r="AM139" i="48" s="1"/>
  <c r="AF139" i="48"/>
  <c r="AE139" i="48"/>
  <c r="T139" i="48"/>
  <c r="R139" i="48" s="1"/>
  <c r="Q139" i="48" s="1"/>
  <c r="S139" i="48"/>
  <c r="L139" i="48"/>
  <c r="J139" i="48" s="1"/>
  <c r="K139" i="48"/>
  <c r="I139" i="48"/>
  <c r="BA138" i="48"/>
  <c r="AZ138" i="48"/>
  <c r="AY138" i="48"/>
  <c r="AX138" i="48"/>
  <c r="AP138" i="48"/>
  <c r="AO138" i="48"/>
  <c r="AN138" i="48"/>
  <c r="AM138" i="48"/>
  <c r="AF138" i="48"/>
  <c r="AE138" i="48"/>
  <c r="T138" i="48"/>
  <c r="S138" i="48"/>
  <c r="R138" i="48" s="1"/>
  <c r="Q138" i="48" s="1"/>
  <c r="L138" i="48"/>
  <c r="H138" i="48" s="1"/>
  <c r="F138" i="48" s="1"/>
  <c r="D138" i="48" s="1"/>
  <c r="K138" i="48"/>
  <c r="G138" i="48"/>
  <c r="E138" i="48" s="1"/>
  <c r="BA137" i="48"/>
  <c r="AY137" i="48" s="1"/>
  <c r="AZ137" i="48"/>
  <c r="AX137" i="48"/>
  <c r="AP137" i="48"/>
  <c r="AN137" i="48" s="1"/>
  <c r="AM137" i="48" s="1"/>
  <c r="AO137" i="48"/>
  <c r="AF137" i="48"/>
  <c r="AE137" i="48"/>
  <c r="T137" i="48"/>
  <c r="S137" i="48"/>
  <c r="R137" i="48"/>
  <c r="Q137" i="48" s="1"/>
  <c r="L137" i="48"/>
  <c r="K137" i="48"/>
  <c r="J137" i="48"/>
  <c r="I137" i="48" s="1"/>
  <c r="G137" i="48"/>
  <c r="E137" i="48" s="1"/>
  <c r="BA136" i="48"/>
  <c r="AZ136" i="48"/>
  <c r="AY136" i="48" s="1"/>
  <c r="AX136" i="48" s="1"/>
  <c r="AP136" i="48"/>
  <c r="AO136" i="48"/>
  <c r="AN136" i="48" s="1"/>
  <c r="AM136" i="48" s="1"/>
  <c r="AF136" i="48"/>
  <c r="AE136" i="48"/>
  <c r="T136" i="48"/>
  <c r="S136" i="48"/>
  <c r="R136" i="48"/>
  <c r="Q136" i="48"/>
  <c r="L136" i="48"/>
  <c r="K136" i="48"/>
  <c r="J136" i="48"/>
  <c r="I136" i="48"/>
  <c r="BA135" i="48"/>
  <c r="AZ135" i="48"/>
  <c r="AY135" i="48"/>
  <c r="AX135" i="48" s="1"/>
  <c r="AP135" i="48"/>
  <c r="AO135" i="48"/>
  <c r="AN135" i="48"/>
  <c r="AM135" i="48" s="1"/>
  <c r="AF135" i="48"/>
  <c r="AE135" i="48"/>
  <c r="G135" i="48" s="1"/>
  <c r="T135" i="48"/>
  <c r="R135" i="48" s="1"/>
  <c r="S135" i="48"/>
  <c r="Q135" i="48"/>
  <c r="L135" i="48"/>
  <c r="K135" i="48"/>
  <c r="E135" i="48"/>
  <c r="BA134" i="48"/>
  <c r="AZ134" i="48"/>
  <c r="AY134" i="48"/>
  <c r="AX134" i="48" s="1"/>
  <c r="AP134" i="48"/>
  <c r="AO134" i="48"/>
  <c r="AN134" i="48"/>
  <c r="AM134" i="48" s="1"/>
  <c r="AF134" i="48"/>
  <c r="AE134" i="48"/>
  <c r="T134" i="48"/>
  <c r="S134" i="48"/>
  <c r="L134" i="48"/>
  <c r="K134" i="48"/>
  <c r="J134" i="48" s="1"/>
  <c r="I134" i="48" s="1"/>
  <c r="H134" i="48"/>
  <c r="F134" i="48" s="1"/>
  <c r="BF133" i="48"/>
  <c r="BE133" i="48"/>
  <c r="BD133" i="48"/>
  <c r="BC133" i="48"/>
  <c r="BB133" i="48"/>
  <c r="AW133" i="48"/>
  <c r="AV133" i="48"/>
  <c r="AU133" i="48"/>
  <c r="AT133" i="48"/>
  <c r="AS133" i="48"/>
  <c r="AR133" i="48"/>
  <c r="AQ133" i="48"/>
  <c r="AL133" i="48"/>
  <c r="AK133" i="48"/>
  <c r="AJ133" i="48"/>
  <c r="AI133" i="48"/>
  <c r="AH133" i="48"/>
  <c r="AG133" i="48"/>
  <c r="AB133" i="48"/>
  <c r="AA133" i="48"/>
  <c r="Z133" i="48"/>
  <c r="Y133" i="48"/>
  <c r="X133" i="48"/>
  <c r="W133" i="48"/>
  <c r="V133" i="48"/>
  <c r="U133" i="48"/>
  <c r="P133" i="48"/>
  <c r="O133" i="48"/>
  <c r="N133" i="48"/>
  <c r="M133" i="48"/>
  <c r="BF132" i="48"/>
  <c r="BE132" i="48"/>
  <c r="BD132" i="48"/>
  <c r="BC132" i="48"/>
  <c r="BB132" i="48"/>
  <c r="AW132" i="48"/>
  <c r="AV132" i="48"/>
  <c r="AU132" i="48"/>
  <c r="AT132" i="48"/>
  <c r="AS132" i="48"/>
  <c r="AR132" i="48"/>
  <c r="AQ132" i="48"/>
  <c r="AL132" i="48"/>
  <c r="AK132" i="48"/>
  <c r="AJ132" i="48"/>
  <c r="AI132" i="48"/>
  <c r="AH132" i="48"/>
  <c r="AG132" i="48"/>
  <c r="AB132" i="48"/>
  <c r="AA132" i="48"/>
  <c r="Z132" i="48"/>
  <c r="Y132" i="48"/>
  <c r="X132" i="48"/>
  <c r="W132" i="48"/>
  <c r="V132" i="48"/>
  <c r="U132" i="48"/>
  <c r="P132" i="48"/>
  <c r="O132" i="48"/>
  <c r="N132" i="48"/>
  <c r="M132" i="48"/>
  <c r="BA131" i="48"/>
  <c r="AZ131" i="48"/>
  <c r="AY131" i="48" s="1"/>
  <c r="AX131" i="48" s="1"/>
  <c r="AP131" i="48"/>
  <c r="AO131" i="48"/>
  <c r="AN131" i="48" s="1"/>
  <c r="AM131" i="48" s="1"/>
  <c r="AF131" i="48"/>
  <c r="H131" i="48" s="1"/>
  <c r="F131" i="48" s="1"/>
  <c r="AE131" i="48"/>
  <c r="G131" i="48" s="1"/>
  <c r="E131" i="48" s="1"/>
  <c r="T131" i="48"/>
  <c r="S131" i="48"/>
  <c r="R131" i="48"/>
  <c r="Q131" i="48"/>
  <c r="L131" i="48"/>
  <c r="K131" i="48"/>
  <c r="J131" i="48"/>
  <c r="I131" i="48"/>
  <c r="BA130" i="48"/>
  <c r="AZ130" i="48"/>
  <c r="AY130" i="48" s="1"/>
  <c r="AX130" i="48" s="1"/>
  <c r="AP130" i="48"/>
  <c r="AO130" i="48"/>
  <c r="AN130" i="48"/>
  <c r="AM130" i="48" s="1"/>
  <c r="AF130" i="48"/>
  <c r="AE130" i="48"/>
  <c r="T130" i="48"/>
  <c r="R130" i="48" s="1"/>
  <c r="Q130" i="48" s="1"/>
  <c r="S130" i="48"/>
  <c r="L130" i="48"/>
  <c r="J130" i="48" s="1"/>
  <c r="K130" i="48"/>
  <c r="I130" i="48"/>
  <c r="BA129" i="48"/>
  <c r="AZ129" i="48"/>
  <c r="AY129" i="48"/>
  <c r="AX129" i="48" s="1"/>
  <c r="AP129" i="48"/>
  <c r="AO129" i="48"/>
  <c r="AN129" i="48"/>
  <c r="AM129" i="48" s="1"/>
  <c r="AF129" i="48"/>
  <c r="AE129" i="48"/>
  <c r="T129" i="48"/>
  <c r="S129" i="48"/>
  <c r="L129" i="48"/>
  <c r="H129" i="48" s="1"/>
  <c r="F129" i="48" s="1"/>
  <c r="D129" i="48" s="1"/>
  <c r="K129" i="48"/>
  <c r="G129" i="48"/>
  <c r="E129" i="48" s="1"/>
  <c r="BA128" i="48"/>
  <c r="AY128" i="48" s="1"/>
  <c r="AZ128" i="48"/>
  <c r="AX128" i="48"/>
  <c r="AP128" i="48"/>
  <c r="AN128" i="48" s="1"/>
  <c r="AM128" i="48" s="1"/>
  <c r="AO128" i="48"/>
  <c r="AF128" i="48"/>
  <c r="AE128" i="48"/>
  <c r="T128" i="48"/>
  <c r="S128" i="48"/>
  <c r="R128" i="48" s="1"/>
  <c r="Q128" i="48" s="1"/>
  <c r="L128" i="48"/>
  <c r="K128" i="48"/>
  <c r="J128" i="48"/>
  <c r="I128" i="48" s="1"/>
  <c r="BA127" i="48"/>
  <c r="AZ127" i="48"/>
  <c r="AY127" i="48" s="1"/>
  <c r="AX127" i="48" s="1"/>
  <c r="AP127" i="48"/>
  <c r="AO127" i="48"/>
  <c r="AN127" i="48" s="1"/>
  <c r="AM127" i="48" s="1"/>
  <c r="AF127" i="48"/>
  <c r="AE127" i="48"/>
  <c r="T127" i="48"/>
  <c r="S127" i="48"/>
  <c r="R127" i="48"/>
  <c r="Q127" i="48"/>
  <c r="L127" i="48"/>
  <c r="K127" i="48"/>
  <c r="J127" i="48"/>
  <c r="I127" i="48"/>
  <c r="BA126" i="48"/>
  <c r="AZ126" i="48"/>
  <c r="AY126" i="48" s="1"/>
  <c r="AX126" i="48" s="1"/>
  <c r="AP126" i="48"/>
  <c r="AO126" i="48"/>
  <c r="AN126" i="48"/>
  <c r="AM126" i="48" s="1"/>
  <c r="AF126" i="48"/>
  <c r="AE126" i="48"/>
  <c r="G126" i="48" s="1"/>
  <c r="T126" i="48"/>
  <c r="R126" i="48" s="1"/>
  <c r="S126" i="48"/>
  <c r="Q126" i="48"/>
  <c r="L126" i="48"/>
  <c r="K126" i="48"/>
  <c r="E126" i="48"/>
  <c r="BA125" i="48"/>
  <c r="AZ125" i="48"/>
  <c r="AY125" i="48"/>
  <c r="AX125" i="48" s="1"/>
  <c r="AP125" i="48"/>
  <c r="AO125" i="48"/>
  <c r="AN125" i="48"/>
  <c r="AM125" i="48" s="1"/>
  <c r="AF125" i="48"/>
  <c r="AE125" i="48"/>
  <c r="T125" i="48"/>
  <c r="S125" i="48"/>
  <c r="L125" i="48"/>
  <c r="K125" i="48"/>
  <c r="H125" i="48"/>
  <c r="F125" i="48" s="1"/>
  <c r="D125" i="48" s="1"/>
  <c r="G125" i="48"/>
  <c r="E125" i="48" s="1"/>
  <c r="BA124" i="48"/>
  <c r="AY124" i="48" s="1"/>
  <c r="AX124" i="48" s="1"/>
  <c r="AZ124" i="48"/>
  <c r="AP124" i="48"/>
  <c r="AN124" i="48" s="1"/>
  <c r="AO124" i="48"/>
  <c r="AM124" i="48"/>
  <c r="AF124" i="48"/>
  <c r="AE124" i="48"/>
  <c r="T124" i="48"/>
  <c r="S124" i="48"/>
  <c r="L124" i="48"/>
  <c r="K124" i="48"/>
  <c r="J124" i="48"/>
  <c r="I124" i="48" s="1"/>
  <c r="BA123" i="48"/>
  <c r="AZ123" i="48"/>
  <c r="AY123" i="48" s="1"/>
  <c r="AX123" i="48" s="1"/>
  <c r="AP123" i="48"/>
  <c r="AO123" i="48"/>
  <c r="AN123" i="48" s="1"/>
  <c r="AM123" i="48" s="1"/>
  <c r="AF123" i="48"/>
  <c r="H123" i="48" s="1"/>
  <c r="F123" i="48" s="1"/>
  <c r="AE123" i="48"/>
  <c r="G123" i="48" s="1"/>
  <c r="E123" i="48" s="1"/>
  <c r="D123" i="48" s="1"/>
  <c r="T123" i="48"/>
  <c r="S123" i="48"/>
  <c r="R123" i="48"/>
  <c r="Q123" i="48"/>
  <c r="L123" i="48"/>
  <c r="K123" i="48"/>
  <c r="J123" i="48"/>
  <c r="I123" i="48"/>
  <c r="BA122" i="48"/>
  <c r="AZ122" i="48"/>
  <c r="AY122" i="48" s="1"/>
  <c r="AX122" i="48" s="1"/>
  <c r="AP122" i="48"/>
  <c r="AO122" i="48"/>
  <c r="AN122" i="48"/>
  <c r="AM122" i="48" s="1"/>
  <c r="AF122" i="48"/>
  <c r="AE122" i="48"/>
  <c r="T122" i="48"/>
  <c r="R122" i="48" s="1"/>
  <c r="Q122" i="48" s="1"/>
  <c r="S122" i="48"/>
  <c r="L122" i="48"/>
  <c r="J122" i="48" s="1"/>
  <c r="K122" i="48"/>
  <c r="I122" i="48"/>
  <c r="BA121" i="48"/>
  <c r="AZ121" i="48"/>
  <c r="AY121" i="48"/>
  <c r="AX121" i="48" s="1"/>
  <c r="AP121" i="48"/>
  <c r="AO121" i="48"/>
  <c r="AN121" i="48"/>
  <c r="AM121" i="48" s="1"/>
  <c r="AF121" i="48"/>
  <c r="AE121" i="48"/>
  <c r="T121" i="48"/>
  <c r="S121" i="48"/>
  <c r="L121" i="48"/>
  <c r="H121" i="48" s="1"/>
  <c r="F121" i="48" s="1"/>
  <c r="D121" i="48" s="1"/>
  <c r="K121" i="48"/>
  <c r="G121" i="48"/>
  <c r="E121" i="48" s="1"/>
  <c r="BA120" i="48"/>
  <c r="AY120" i="48" s="1"/>
  <c r="AZ120" i="48"/>
  <c r="AX120" i="48"/>
  <c r="AP120" i="48"/>
  <c r="AN120" i="48" s="1"/>
  <c r="AM120" i="48" s="1"/>
  <c r="AO120" i="48"/>
  <c r="AF120" i="48"/>
  <c r="AE120" i="48"/>
  <c r="T120" i="48"/>
  <c r="S120" i="48"/>
  <c r="R120" i="48" s="1"/>
  <c r="Q120" i="48" s="1"/>
  <c r="L120" i="48"/>
  <c r="K120" i="48"/>
  <c r="J120" i="48"/>
  <c r="I120" i="48" s="1"/>
  <c r="BA119" i="48"/>
  <c r="AZ119" i="48"/>
  <c r="AY119" i="48" s="1"/>
  <c r="AX119" i="48" s="1"/>
  <c r="AP119" i="48"/>
  <c r="AO119" i="48"/>
  <c r="AN119" i="48" s="1"/>
  <c r="AM119" i="48" s="1"/>
  <c r="AF119" i="48"/>
  <c r="AE119" i="48"/>
  <c r="T119" i="48"/>
  <c r="S119" i="48"/>
  <c r="R119" i="48"/>
  <c r="Q119" i="48"/>
  <c r="L119" i="48"/>
  <c r="K119" i="48"/>
  <c r="J119" i="48"/>
  <c r="I119" i="48"/>
  <c r="BA118" i="48"/>
  <c r="AZ118" i="48"/>
  <c r="AY118" i="48" s="1"/>
  <c r="AX118" i="48" s="1"/>
  <c r="AP118" i="48"/>
  <c r="AO118" i="48"/>
  <c r="AN118" i="48"/>
  <c r="AM118" i="48" s="1"/>
  <c r="AF118" i="48"/>
  <c r="AE118" i="48"/>
  <c r="G118" i="48" s="1"/>
  <c r="E118" i="48" s="1"/>
  <c r="T118" i="48"/>
  <c r="R118" i="48" s="1"/>
  <c r="Q118" i="48" s="1"/>
  <c r="S118" i="48"/>
  <c r="L118" i="48"/>
  <c r="K118" i="48"/>
  <c r="BA117" i="48"/>
  <c r="AZ117" i="48"/>
  <c r="AY117" i="48"/>
  <c r="AX117" i="48" s="1"/>
  <c r="AP117" i="48"/>
  <c r="AO117" i="48"/>
  <c r="AN117" i="48"/>
  <c r="AM117" i="48" s="1"/>
  <c r="AF117" i="48"/>
  <c r="AE117" i="48"/>
  <c r="T117" i="48"/>
  <c r="S117" i="48"/>
  <c r="L117" i="48"/>
  <c r="K117" i="48"/>
  <c r="H117" i="48"/>
  <c r="F117" i="48" s="1"/>
  <c r="D117" i="48" s="1"/>
  <c r="G117" i="48"/>
  <c r="E117" i="48" s="1"/>
  <c r="BA116" i="48"/>
  <c r="AY116" i="48" s="1"/>
  <c r="AX116" i="48" s="1"/>
  <c r="AZ116" i="48"/>
  <c r="AP116" i="48"/>
  <c r="AN116" i="48" s="1"/>
  <c r="AO116" i="48"/>
  <c r="AM116" i="48"/>
  <c r="AF116" i="48"/>
  <c r="AE116" i="48"/>
  <c r="T116" i="48"/>
  <c r="S116" i="48"/>
  <c r="R116" i="48" s="1"/>
  <c r="Q116" i="48" s="1"/>
  <c r="L116" i="48"/>
  <c r="K116" i="48"/>
  <c r="G116" i="48" s="1"/>
  <c r="E116" i="48" s="1"/>
  <c r="J116" i="48"/>
  <c r="I116" i="48" s="1"/>
  <c r="BA115" i="48"/>
  <c r="AZ115" i="48"/>
  <c r="AY115" i="48" s="1"/>
  <c r="AX115" i="48" s="1"/>
  <c r="AP115" i="48"/>
  <c r="AO115" i="48"/>
  <c r="AN115" i="48" s="1"/>
  <c r="AM115" i="48" s="1"/>
  <c r="AF115" i="48"/>
  <c r="H115" i="48" s="1"/>
  <c r="F115" i="48" s="1"/>
  <c r="AE115" i="48"/>
  <c r="G115" i="48" s="1"/>
  <c r="E115" i="48" s="1"/>
  <c r="D115" i="48" s="1"/>
  <c r="T115" i="48"/>
  <c r="S115" i="48"/>
  <c r="R115" i="48"/>
  <c r="Q115" i="48"/>
  <c r="L115" i="48"/>
  <c r="K115" i="48"/>
  <c r="J115" i="48"/>
  <c r="I115" i="48"/>
  <c r="BA114" i="48"/>
  <c r="AZ114" i="48"/>
  <c r="AY114" i="48" s="1"/>
  <c r="AX114" i="48" s="1"/>
  <c r="AP114" i="48"/>
  <c r="AO114" i="48"/>
  <c r="AN114" i="48"/>
  <c r="AM114" i="48" s="1"/>
  <c r="AF114" i="48"/>
  <c r="AE114" i="48"/>
  <c r="T114" i="48"/>
  <c r="R114" i="48" s="1"/>
  <c r="Q114" i="48" s="1"/>
  <c r="S114" i="48"/>
  <c r="L114" i="48"/>
  <c r="J114" i="48" s="1"/>
  <c r="K114" i="48"/>
  <c r="I114" i="48"/>
  <c r="BF113" i="48"/>
  <c r="BE113" i="48"/>
  <c r="BD113" i="48"/>
  <c r="BC113" i="48"/>
  <c r="BB113" i="48"/>
  <c r="AW113" i="48"/>
  <c r="AV113" i="48"/>
  <c r="AU113" i="48"/>
  <c r="AT113" i="48"/>
  <c r="AS113" i="48"/>
  <c r="AR113" i="48"/>
  <c r="AQ113" i="48"/>
  <c r="AL113" i="48"/>
  <c r="AK113" i="48"/>
  <c r="AJ113" i="48"/>
  <c r="AI113" i="48"/>
  <c r="AH113" i="48"/>
  <c r="AG113" i="48"/>
  <c r="AB113" i="48"/>
  <c r="AA113" i="48"/>
  <c r="Z113" i="48"/>
  <c r="Y113" i="48"/>
  <c r="X113" i="48"/>
  <c r="W113" i="48"/>
  <c r="V113" i="48"/>
  <c r="U113" i="48"/>
  <c r="P113" i="48"/>
  <c r="O113" i="48"/>
  <c r="N113" i="48"/>
  <c r="M113" i="48"/>
  <c r="BF112" i="48"/>
  <c r="BE112" i="48"/>
  <c r="BD112" i="48"/>
  <c r="BC112" i="48"/>
  <c r="BB112" i="48"/>
  <c r="AW112" i="48"/>
  <c r="AV112" i="48"/>
  <c r="AU112" i="48"/>
  <c r="AT112" i="48"/>
  <c r="AS112" i="48"/>
  <c r="AR112" i="48"/>
  <c r="AQ112" i="48"/>
  <c r="AL112" i="48"/>
  <c r="AK112" i="48"/>
  <c r="AJ112" i="48"/>
  <c r="AI112" i="48"/>
  <c r="AH112" i="48"/>
  <c r="AG112" i="48"/>
  <c r="AB112" i="48"/>
  <c r="AA112" i="48"/>
  <c r="Z112" i="48"/>
  <c r="Y112" i="48"/>
  <c r="X112" i="48"/>
  <c r="W112" i="48"/>
  <c r="V112" i="48"/>
  <c r="U112" i="48"/>
  <c r="P112" i="48"/>
  <c r="O112" i="48"/>
  <c r="N112" i="48"/>
  <c r="M112" i="48"/>
  <c r="BA111" i="48"/>
  <c r="AZ111" i="48"/>
  <c r="AY111" i="48"/>
  <c r="AX111" i="48" s="1"/>
  <c r="AP111" i="48"/>
  <c r="AO111" i="48"/>
  <c r="AN111" i="48"/>
  <c r="AM111" i="48" s="1"/>
  <c r="AF111" i="48"/>
  <c r="AE111" i="48"/>
  <c r="T111" i="48"/>
  <c r="S111" i="48"/>
  <c r="L111" i="48"/>
  <c r="H111" i="48" s="1"/>
  <c r="F111" i="48" s="1"/>
  <c r="D111" i="48" s="1"/>
  <c r="K111" i="48"/>
  <c r="G111" i="48"/>
  <c r="E111" i="48" s="1"/>
  <c r="BA110" i="48"/>
  <c r="AY110" i="48" s="1"/>
  <c r="AZ110" i="48"/>
  <c r="AX110" i="48"/>
  <c r="AP110" i="48"/>
  <c r="AN110" i="48" s="1"/>
  <c r="AM110" i="48" s="1"/>
  <c r="AO110" i="48"/>
  <c r="AF110" i="48"/>
  <c r="AE110" i="48"/>
  <c r="T110" i="48"/>
  <c r="S110" i="48"/>
  <c r="L110" i="48"/>
  <c r="K110" i="48"/>
  <c r="J110" i="48"/>
  <c r="I110" i="48" s="1"/>
  <c r="BA109" i="48"/>
  <c r="AZ109" i="48"/>
  <c r="AY109" i="48" s="1"/>
  <c r="AX109" i="48" s="1"/>
  <c r="AP109" i="48"/>
  <c r="AO109" i="48"/>
  <c r="AN109" i="48" s="1"/>
  <c r="AM109" i="48" s="1"/>
  <c r="AF109" i="48"/>
  <c r="AE109" i="48"/>
  <c r="G109" i="48" s="1"/>
  <c r="E109" i="48" s="1"/>
  <c r="T109" i="48"/>
  <c r="S109" i="48"/>
  <c r="R109" i="48"/>
  <c r="Q109" i="48"/>
  <c r="L109" i="48"/>
  <c r="K109" i="48"/>
  <c r="J109" i="48"/>
  <c r="I109" i="48"/>
  <c r="BA108" i="48"/>
  <c r="AZ108" i="48"/>
  <c r="AY108" i="48" s="1"/>
  <c r="AX108" i="48" s="1"/>
  <c r="AP108" i="48"/>
  <c r="AO108" i="48"/>
  <c r="AN108" i="48"/>
  <c r="AM108" i="48" s="1"/>
  <c r="AF108" i="48"/>
  <c r="AE108" i="48"/>
  <c r="T108" i="48"/>
  <c r="R108" i="48" s="1"/>
  <c r="S108" i="48"/>
  <c r="Q108" i="48"/>
  <c r="L108" i="48"/>
  <c r="K108" i="48"/>
  <c r="BA107" i="48"/>
  <c r="AZ107" i="48"/>
  <c r="AY107" i="48"/>
  <c r="AX107" i="48" s="1"/>
  <c r="AP107" i="48"/>
  <c r="AO107" i="48"/>
  <c r="AN107" i="48"/>
  <c r="AM107" i="48" s="1"/>
  <c r="AF107" i="48"/>
  <c r="AE107" i="48"/>
  <c r="T107" i="48"/>
  <c r="S107" i="48"/>
  <c r="L107" i="48"/>
  <c r="K107" i="48"/>
  <c r="G107" i="48" s="1"/>
  <c r="E107" i="48" s="1"/>
  <c r="D107" i="48" s="1"/>
  <c r="H107" i="48"/>
  <c r="F107" i="48" s="1"/>
  <c r="BA106" i="48"/>
  <c r="AY106" i="48" s="1"/>
  <c r="AX106" i="48" s="1"/>
  <c r="AZ106" i="48"/>
  <c r="AP106" i="48"/>
  <c r="AO106" i="48"/>
  <c r="AF106" i="48"/>
  <c r="AE106" i="48"/>
  <c r="T106" i="48"/>
  <c r="S106" i="48"/>
  <c r="R106" i="48" s="1"/>
  <c r="Q106" i="48" s="1"/>
  <c r="L106" i="48"/>
  <c r="K106" i="48"/>
  <c r="J106" i="48"/>
  <c r="I106" i="48" s="1"/>
  <c r="G106" i="48"/>
  <c r="E106" i="48" s="1"/>
  <c r="BA105" i="48"/>
  <c r="AZ105" i="48"/>
  <c r="AY105" i="48" s="1"/>
  <c r="AX105" i="48" s="1"/>
  <c r="AP105" i="48"/>
  <c r="AO105" i="48"/>
  <c r="AF105" i="48"/>
  <c r="AE105" i="48"/>
  <c r="T105" i="48"/>
  <c r="S105" i="48"/>
  <c r="R105" i="48" s="1"/>
  <c r="Q105" i="48" s="1"/>
  <c r="L105" i="48"/>
  <c r="K105" i="48"/>
  <c r="BA104" i="48"/>
  <c r="AY104" i="48" s="1"/>
  <c r="AX104" i="48" s="1"/>
  <c r="AZ104" i="48"/>
  <c r="AP104" i="48"/>
  <c r="AO104" i="48"/>
  <c r="AN104" i="48" s="1"/>
  <c r="AM104" i="48" s="1"/>
  <c r="AF104" i="48"/>
  <c r="H104" i="48" s="1"/>
  <c r="F104" i="48" s="1"/>
  <c r="AE104" i="48"/>
  <c r="T104" i="48"/>
  <c r="S104" i="48"/>
  <c r="R104" i="48"/>
  <c r="Q104" i="48" s="1"/>
  <c r="L104" i="48"/>
  <c r="K104" i="48"/>
  <c r="J104" i="48"/>
  <c r="I104" i="48" s="1"/>
  <c r="BA103" i="48"/>
  <c r="AZ103" i="48"/>
  <c r="AY103" i="48"/>
  <c r="AX103" i="48" s="1"/>
  <c r="AP103" i="48"/>
  <c r="AO103" i="48"/>
  <c r="AN103" i="48"/>
  <c r="AM103" i="48" s="1"/>
  <c r="AF103" i="48"/>
  <c r="AE103" i="48"/>
  <c r="T103" i="48"/>
  <c r="S103" i="48"/>
  <c r="L103" i="48"/>
  <c r="K103" i="48"/>
  <c r="H103" i="48"/>
  <c r="F103" i="48" s="1"/>
  <c r="BA102" i="48"/>
  <c r="AZ102" i="48"/>
  <c r="AY102" i="48"/>
  <c r="AX102" i="48" s="1"/>
  <c r="AP102" i="48"/>
  <c r="AN102" i="48" s="1"/>
  <c r="AM102" i="48" s="1"/>
  <c r="AO102" i="48"/>
  <c r="AF102" i="48"/>
  <c r="AE102" i="48"/>
  <c r="T102" i="48"/>
  <c r="H102" i="48" s="1"/>
  <c r="F102" i="48" s="1"/>
  <c r="S102" i="48"/>
  <c r="R102" i="48"/>
  <c r="Q102" i="48" s="1"/>
  <c r="L102" i="48"/>
  <c r="K102" i="48"/>
  <c r="BA101" i="48"/>
  <c r="AZ101" i="48"/>
  <c r="AP101" i="48"/>
  <c r="AO101" i="48"/>
  <c r="AF101" i="48"/>
  <c r="AE101" i="48"/>
  <c r="T101" i="48"/>
  <c r="S101" i="48"/>
  <c r="R101" i="48"/>
  <c r="Q101" i="48" s="1"/>
  <c r="L101" i="48"/>
  <c r="K101" i="48"/>
  <c r="J101" i="48"/>
  <c r="I101" i="48" s="1"/>
  <c r="BA100" i="48"/>
  <c r="AZ100" i="48"/>
  <c r="AY100" i="48" s="1"/>
  <c r="AX100" i="48" s="1"/>
  <c r="AP100" i="48"/>
  <c r="H100" i="48" s="1"/>
  <c r="AO100" i="48"/>
  <c r="AN100" i="48"/>
  <c r="AM100" i="48" s="1"/>
  <c r="AF100" i="48"/>
  <c r="AE100" i="48"/>
  <c r="T100" i="48"/>
  <c r="R100" i="48" s="1"/>
  <c r="S100" i="48"/>
  <c r="Q100" i="48"/>
  <c r="L100" i="48"/>
  <c r="J100" i="48" s="1"/>
  <c r="K100" i="48"/>
  <c r="I100" i="48"/>
  <c r="F100" i="48"/>
  <c r="BA99" i="48"/>
  <c r="AZ99" i="48"/>
  <c r="AY99" i="48" s="1"/>
  <c r="AX99" i="48"/>
  <c r="AP99" i="48"/>
  <c r="AO99" i="48"/>
  <c r="AN99" i="48" s="1"/>
  <c r="AM99" i="48"/>
  <c r="AF99" i="48"/>
  <c r="AE99" i="48"/>
  <c r="T99" i="48"/>
  <c r="S99" i="48"/>
  <c r="R99" i="48" s="1"/>
  <c r="Q99" i="48" s="1"/>
  <c r="L99" i="48"/>
  <c r="H99" i="48" s="1"/>
  <c r="F99" i="48" s="1"/>
  <c r="D99" i="48" s="1"/>
  <c r="K99" i="48"/>
  <c r="G99" i="48"/>
  <c r="E99" i="48" s="1"/>
  <c r="BF98" i="48"/>
  <c r="BD98" i="48"/>
  <c r="BC98" i="48"/>
  <c r="BB98" i="48"/>
  <c r="AU98" i="48"/>
  <c r="AR98" i="48"/>
  <c r="AQ98" i="48"/>
  <c r="AL98" i="48"/>
  <c r="AI98" i="48"/>
  <c r="AH98" i="48"/>
  <c r="AB98" i="48"/>
  <c r="AA98" i="48"/>
  <c r="Z98" i="48"/>
  <c r="W98" i="48"/>
  <c r="P98" i="48"/>
  <c r="O98" i="48"/>
  <c r="N98" i="48"/>
  <c r="BF97" i="48"/>
  <c r="BE97" i="48"/>
  <c r="BE98" i="48" s="1"/>
  <c r="BD97" i="48"/>
  <c r="BC97" i="48"/>
  <c r="BB97" i="48"/>
  <c r="AW97" i="48"/>
  <c r="AW98" i="48" s="1"/>
  <c r="AV97" i="48"/>
  <c r="AV98" i="48" s="1"/>
  <c r="AU97" i="48"/>
  <c r="AT97" i="48"/>
  <c r="AT98" i="48" s="1"/>
  <c r="AS97" i="48"/>
  <c r="AS98" i="48" s="1"/>
  <c r="AR97" i="48"/>
  <c r="AQ97" i="48"/>
  <c r="AL97" i="48"/>
  <c r="AK97" i="48"/>
  <c r="AK98" i="48" s="1"/>
  <c r="AJ97" i="48"/>
  <c r="AJ98" i="48" s="1"/>
  <c r="AI97" i="48"/>
  <c r="AH97" i="48"/>
  <c r="AG97" i="48"/>
  <c r="AG98" i="48" s="1"/>
  <c r="AB97" i="48"/>
  <c r="AA97" i="48"/>
  <c r="Z97" i="48"/>
  <c r="Y97" i="48"/>
  <c r="Y98" i="48" s="1"/>
  <c r="X97" i="48"/>
  <c r="X98" i="48" s="1"/>
  <c r="W97" i="48"/>
  <c r="V97" i="48"/>
  <c r="V98" i="48" s="1"/>
  <c r="U97" i="48"/>
  <c r="U98" i="48" s="1"/>
  <c r="P97" i="48"/>
  <c r="O97" i="48"/>
  <c r="N97" i="48"/>
  <c r="M97" i="48"/>
  <c r="M98" i="48" s="1"/>
  <c r="BA96" i="48"/>
  <c r="AY96" i="48" s="1"/>
  <c r="AX96" i="48" s="1"/>
  <c r="AZ96" i="48"/>
  <c r="AP96" i="48"/>
  <c r="AN96" i="48" s="1"/>
  <c r="AM96" i="48" s="1"/>
  <c r="AO96" i="48"/>
  <c r="AF96" i="48"/>
  <c r="AE96" i="48"/>
  <c r="T96" i="48"/>
  <c r="S96" i="48"/>
  <c r="R96" i="48" s="1"/>
  <c r="Q96" i="48" s="1"/>
  <c r="L96" i="48"/>
  <c r="H96" i="48" s="1"/>
  <c r="F96" i="48" s="1"/>
  <c r="K96" i="48"/>
  <c r="J96" i="48"/>
  <c r="I96" i="48" s="1"/>
  <c r="G96" i="48"/>
  <c r="E96" i="48" s="1"/>
  <c r="D96" i="48" s="1"/>
  <c r="BA95" i="48"/>
  <c r="AZ95" i="48"/>
  <c r="AY95" i="48" s="1"/>
  <c r="AX95" i="48" s="1"/>
  <c r="AP95" i="48"/>
  <c r="AO95" i="48"/>
  <c r="AF95" i="48"/>
  <c r="AE95" i="48"/>
  <c r="T95" i="48"/>
  <c r="S95" i="48"/>
  <c r="R95" i="48" s="1"/>
  <c r="Q95" i="48"/>
  <c r="L95" i="48"/>
  <c r="K95" i="48"/>
  <c r="BA94" i="48"/>
  <c r="AZ94" i="48"/>
  <c r="AY94" i="48"/>
  <c r="AX94" i="48" s="1"/>
  <c r="AP94" i="48"/>
  <c r="AO94" i="48"/>
  <c r="AN94" i="48" s="1"/>
  <c r="AM94" i="48" s="1"/>
  <c r="AF94" i="48"/>
  <c r="AE94" i="48"/>
  <c r="T94" i="48"/>
  <c r="R94" i="48" s="1"/>
  <c r="Q94" i="48" s="1"/>
  <c r="S94" i="48"/>
  <c r="L94" i="48"/>
  <c r="H94" i="48" s="1"/>
  <c r="F94" i="48" s="1"/>
  <c r="K94" i="48"/>
  <c r="BA93" i="48"/>
  <c r="AZ93" i="48"/>
  <c r="AY93" i="48"/>
  <c r="AX93" i="48" s="1"/>
  <c r="AP93" i="48"/>
  <c r="AO93" i="48"/>
  <c r="AN93" i="48"/>
  <c r="AM93" i="48" s="1"/>
  <c r="AF93" i="48"/>
  <c r="AE93" i="48"/>
  <c r="T93" i="48"/>
  <c r="H93" i="48" s="1"/>
  <c r="F93" i="48" s="1"/>
  <c r="S93" i="48"/>
  <c r="L93" i="48"/>
  <c r="K93" i="48"/>
  <c r="BA92" i="48"/>
  <c r="AY92" i="48" s="1"/>
  <c r="AX92" i="48" s="1"/>
  <c r="AZ92" i="48"/>
  <c r="AP92" i="48"/>
  <c r="AO92" i="48"/>
  <c r="AN92" i="48"/>
  <c r="AM92" i="48" s="1"/>
  <c r="AF92" i="48"/>
  <c r="AE92" i="48"/>
  <c r="T92" i="48"/>
  <c r="R92" i="48" s="1"/>
  <c r="Q92" i="48" s="1"/>
  <c r="S92" i="48"/>
  <c r="L92" i="48"/>
  <c r="K92" i="48"/>
  <c r="H92" i="48"/>
  <c r="F92" i="48" s="1"/>
  <c r="BA91" i="48"/>
  <c r="AZ91" i="48"/>
  <c r="AP91" i="48"/>
  <c r="AO91" i="48"/>
  <c r="AN91" i="48" s="1"/>
  <c r="AM91" i="48" s="1"/>
  <c r="AF91" i="48"/>
  <c r="H91" i="48" s="1"/>
  <c r="F91" i="48" s="1"/>
  <c r="AE91" i="48"/>
  <c r="T91" i="48"/>
  <c r="S91" i="48"/>
  <c r="R91" i="48"/>
  <c r="Q91" i="48" s="1"/>
  <c r="L91" i="48"/>
  <c r="K91" i="48"/>
  <c r="J91" i="48"/>
  <c r="I91" i="48" s="1"/>
  <c r="G91" i="48"/>
  <c r="E91" i="48"/>
  <c r="D91" i="48" s="1"/>
  <c r="BA90" i="48"/>
  <c r="AZ90" i="48"/>
  <c r="AY90" i="48" s="1"/>
  <c r="AX90" i="48" s="1"/>
  <c r="AP90" i="48"/>
  <c r="AN90" i="48" s="1"/>
  <c r="AM90" i="48" s="1"/>
  <c r="AO90" i="48"/>
  <c r="AF90" i="48"/>
  <c r="AE90" i="48"/>
  <c r="G90" i="48" s="1"/>
  <c r="E90" i="48" s="1"/>
  <c r="T90" i="48"/>
  <c r="S90" i="48"/>
  <c r="R90" i="48"/>
  <c r="Q90" i="48"/>
  <c r="L90" i="48"/>
  <c r="K90" i="48"/>
  <c r="J90" i="48"/>
  <c r="I90" i="48"/>
  <c r="BA89" i="48"/>
  <c r="AZ89" i="48"/>
  <c r="AY89" i="48" s="1"/>
  <c r="AX89" i="48"/>
  <c r="AP89" i="48"/>
  <c r="AO89" i="48"/>
  <c r="AN89" i="48" s="1"/>
  <c r="AM89" i="48"/>
  <c r="AF89" i="48"/>
  <c r="AE89" i="48"/>
  <c r="T89" i="48"/>
  <c r="S89" i="48"/>
  <c r="R89" i="48" s="1"/>
  <c r="Q89" i="48" s="1"/>
  <c r="L89" i="48"/>
  <c r="H89" i="48" s="1"/>
  <c r="F89" i="48" s="1"/>
  <c r="D89" i="48" s="1"/>
  <c r="K89" i="48"/>
  <c r="G89" i="48"/>
  <c r="E89" i="48" s="1"/>
  <c r="BA88" i="48"/>
  <c r="AZ88" i="48"/>
  <c r="AY88" i="48"/>
  <c r="AX88" i="48"/>
  <c r="AP88" i="48"/>
  <c r="AO88" i="48"/>
  <c r="AN88" i="48"/>
  <c r="AM88" i="48"/>
  <c r="AF88" i="48"/>
  <c r="AE88" i="48"/>
  <c r="T88" i="48"/>
  <c r="S88" i="48"/>
  <c r="R88" i="48" s="1"/>
  <c r="Q88" i="48" s="1"/>
  <c r="L88" i="48"/>
  <c r="H88" i="48" s="1"/>
  <c r="F88" i="48" s="1"/>
  <c r="K88" i="48"/>
  <c r="J88" i="48"/>
  <c r="I88" i="48" s="1"/>
  <c r="G88" i="48"/>
  <c r="E88" i="48" s="1"/>
  <c r="D88" i="48" s="1"/>
  <c r="BA87" i="48"/>
  <c r="AZ87" i="48"/>
  <c r="AY87" i="48" s="1"/>
  <c r="AX87" i="48" s="1"/>
  <c r="AP87" i="48"/>
  <c r="AO87" i="48"/>
  <c r="AF87" i="48"/>
  <c r="AE87" i="48"/>
  <c r="T87" i="48"/>
  <c r="S87" i="48"/>
  <c r="R87" i="48" s="1"/>
  <c r="Q87" i="48"/>
  <c r="L87" i="48"/>
  <c r="K87" i="48"/>
  <c r="BA86" i="48"/>
  <c r="AY86" i="48" s="1"/>
  <c r="AX86" i="48" s="1"/>
  <c r="AZ86" i="48"/>
  <c r="AP86" i="48"/>
  <c r="AO86" i="48"/>
  <c r="AN86" i="48" s="1"/>
  <c r="AM86" i="48" s="1"/>
  <c r="AF86" i="48"/>
  <c r="AE86" i="48"/>
  <c r="T86" i="48"/>
  <c r="S86" i="48"/>
  <c r="R86" i="48"/>
  <c r="Q86" i="48"/>
  <c r="L86" i="48"/>
  <c r="K86" i="48"/>
  <c r="J86" i="48"/>
  <c r="I86" i="48"/>
  <c r="BA85" i="48"/>
  <c r="AZ85" i="48"/>
  <c r="AY85" i="48" s="1"/>
  <c r="AX85" i="48" s="1"/>
  <c r="AP85" i="48"/>
  <c r="AO85" i="48"/>
  <c r="AN85" i="48"/>
  <c r="AM85" i="48" s="1"/>
  <c r="AF85" i="48"/>
  <c r="AE85" i="48"/>
  <c r="T85" i="48"/>
  <c r="R85" i="48" s="1"/>
  <c r="Q85" i="48" s="1"/>
  <c r="S85" i="48"/>
  <c r="L85" i="48"/>
  <c r="J85" i="48" s="1"/>
  <c r="I85" i="48" s="1"/>
  <c r="K85" i="48"/>
  <c r="H85" i="48"/>
  <c r="F85" i="48"/>
  <c r="BA84" i="48"/>
  <c r="AZ84" i="48"/>
  <c r="AY84" i="48" s="1"/>
  <c r="AX84" i="48" s="1"/>
  <c r="AP84" i="48"/>
  <c r="AO84" i="48"/>
  <c r="AN84" i="48" s="1"/>
  <c r="AM84" i="48" s="1"/>
  <c r="AF84" i="48"/>
  <c r="AE84" i="48"/>
  <c r="T84" i="48"/>
  <c r="S84" i="48"/>
  <c r="R84" i="48" s="1"/>
  <c r="Q84" i="48"/>
  <c r="L84" i="48"/>
  <c r="H84" i="48" s="1"/>
  <c r="F84" i="48" s="1"/>
  <c r="K84" i="48"/>
  <c r="BA83" i="48"/>
  <c r="AY83" i="48" s="1"/>
  <c r="AX83" i="48" s="1"/>
  <c r="AZ83" i="48"/>
  <c r="AP83" i="48"/>
  <c r="AN83" i="48" s="1"/>
  <c r="AM83" i="48" s="1"/>
  <c r="AO83" i="48"/>
  <c r="AF83" i="48"/>
  <c r="AE83" i="48"/>
  <c r="T83" i="48"/>
  <c r="S83" i="48"/>
  <c r="R83" i="48"/>
  <c r="Q83" i="48" s="1"/>
  <c r="L83" i="48"/>
  <c r="K83" i="48"/>
  <c r="G83" i="48"/>
  <c r="E83" i="48" s="1"/>
  <c r="BF82" i="48"/>
  <c r="BE82" i="48"/>
  <c r="BD82" i="48"/>
  <c r="BC82" i="48"/>
  <c r="BB82" i="48"/>
  <c r="AW82" i="48"/>
  <c r="AV82" i="48"/>
  <c r="AU82" i="48"/>
  <c r="AT82" i="48"/>
  <c r="AS82" i="48"/>
  <c r="AR82" i="48"/>
  <c r="AQ82" i="48"/>
  <c r="AL82" i="48"/>
  <c r="AK82" i="48"/>
  <c r="AJ82" i="48"/>
  <c r="AI82" i="48"/>
  <c r="AH82" i="48"/>
  <c r="AG82" i="48"/>
  <c r="AB82" i="48"/>
  <c r="AA82" i="48"/>
  <c r="Z82" i="48"/>
  <c r="Y82" i="48"/>
  <c r="X82" i="48"/>
  <c r="W82" i="48"/>
  <c r="V82" i="48"/>
  <c r="U82" i="48"/>
  <c r="P82" i="48"/>
  <c r="O82" i="48"/>
  <c r="N82" i="48"/>
  <c r="M82" i="48"/>
  <c r="BF81" i="48"/>
  <c r="BE81" i="48"/>
  <c r="BD81" i="48"/>
  <c r="BC81" i="48"/>
  <c r="BB81" i="48"/>
  <c r="AW81" i="48"/>
  <c r="AV81" i="48"/>
  <c r="AU81" i="48"/>
  <c r="AT81" i="48"/>
  <c r="AS81" i="48"/>
  <c r="AR81" i="48"/>
  <c r="AQ81" i="48"/>
  <c r="AL81" i="48"/>
  <c r="AK81" i="48"/>
  <c r="AJ81" i="48"/>
  <c r="AI81" i="48"/>
  <c r="AH81" i="48"/>
  <c r="AG81" i="48"/>
  <c r="AB81" i="48"/>
  <c r="AA81" i="48"/>
  <c r="Z81" i="48"/>
  <c r="Y81" i="48"/>
  <c r="X81" i="48"/>
  <c r="W81" i="48"/>
  <c r="V81" i="48"/>
  <c r="U81" i="48"/>
  <c r="P81" i="48"/>
  <c r="O81" i="48"/>
  <c r="N81" i="48"/>
  <c r="M81" i="48"/>
  <c r="BA80" i="48"/>
  <c r="AZ80" i="48"/>
  <c r="AY80" i="48" s="1"/>
  <c r="AX80" i="48" s="1"/>
  <c r="AP80" i="48"/>
  <c r="AO80" i="48"/>
  <c r="AN80" i="48" s="1"/>
  <c r="AM80" i="48"/>
  <c r="AF80" i="48"/>
  <c r="AE80" i="48"/>
  <c r="T80" i="48"/>
  <c r="S80" i="48"/>
  <c r="R80" i="48" s="1"/>
  <c r="Q80" i="48" s="1"/>
  <c r="L80" i="48"/>
  <c r="K80" i="48"/>
  <c r="BA79" i="48"/>
  <c r="AZ79" i="48"/>
  <c r="AY79" i="48"/>
  <c r="AX79" i="48" s="1"/>
  <c r="AP79" i="48"/>
  <c r="AO79" i="48"/>
  <c r="AN79" i="48"/>
  <c r="AM79" i="48" s="1"/>
  <c r="AF79" i="48"/>
  <c r="H79" i="48" s="1"/>
  <c r="F79" i="48" s="1"/>
  <c r="AE79" i="48"/>
  <c r="T79" i="48"/>
  <c r="S79" i="48"/>
  <c r="R79" i="48"/>
  <c r="Q79" i="48" s="1"/>
  <c r="L79" i="48"/>
  <c r="K79" i="48"/>
  <c r="J79" i="48"/>
  <c r="I79" i="48" s="1"/>
  <c r="BA78" i="48"/>
  <c r="AZ78" i="48"/>
  <c r="AY78" i="48"/>
  <c r="AX78" i="48" s="1"/>
  <c r="AP78" i="48"/>
  <c r="AO78" i="48"/>
  <c r="AN78" i="48"/>
  <c r="AM78" i="48" s="1"/>
  <c r="AF78" i="48"/>
  <c r="AE78" i="48"/>
  <c r="T78" i="48"/>
  <c r="S78" i="48"/>
  <c r="L78" i="48"/>
  <c r="K78" i="48"/>
  <c r="BA77" i="48"/>
  <c r="AZ77" i="48"/>
  <c r="AY77" i="48"/>
  <c r="AX77" i="48" s="1"/>
  <c r="AP77" i="48"/>
  <c r="AO77" i="48"/>
  <c r="AN77" i="48"/>
  <c r="AM77" i="48" s="1"/>
  <c r="AF77" i="48"/>
  <c r="AE77" i="48"/>
  <c r="T77" i="48"/>
  <c r="R77" i="48" s="1"/>
  <c r="Q77" i="48" s="1"/>
  <c r="S77" i="48"/>
  <c r="L77" i="48"/>
  <c r="H77" i="48" s="1"/>
  <c r="F77" i="48" s="1"/>
  <c r="K77" i="48"/>
  <c r="BA76" i="48"/>
  <c r="AZ76" i="48"/>
  <c r="AY76" i="48" s="1"/>
  <c r="AX76" i="48"/>
  <c r="AP76" i="48"/>
  <c r="AO76" i="48"/>
  <c r="AN76" i="48" s="1"/>
  <c r="AM76" i="48"/>
  <c r="AF76" i="48"/>
  <c r="H76" i="48" s="1"/>
  <c r="F76" i="48" s="1"/>
  <c r="AE76" i="48"/>
  <c r="T76" i="48"/>
  <c r="S76" i="48"/>
  <c r="R76" i="48"/>
  <c r="Q76" i="48" s="1"/>
  <c r="L76" i="48"/>
  <c r="K76" i="48"/>
  <c r="G76" i="48" s="1"/>
  <c r="J76" i="48"/>
  <c r="I76" i="48" s="1"/>
  <c r="E76" i="48"/>
  <c r="D76" i="48" s="1"/>
  <c r="BA75" i="48"/>
  <c r="AZ75" i="48"/>
  <c r="AY75" i="48"/>
  <c r="AX75" i="48" s="1"/>
  <c r="AP75" i="48"/>
  <c r="AN75" i="48" s="1"/>
  <c r="AM75" i="48" s="1"/>
  <c r="AO75" i="48"/>
  <c r="AF75" i="48"/>
  <c r="AE75" i="48"/>
  <c r="G75" i="48" s="1"/>
  <c r="E75" i="48" s="1"/>
  <c r="T75" i="48"/>
  <c r="S75" i="48"/>
  <c r="R75" i="48"/>
  <c r="Q75" i="48"/>
  <c r="L75" i="48"/>
  <c r="K75" i="48"/>
  <c r="J75" i="48"/>
  <c r="I75" i="48"/>
  <c r="BA74" i="48"/>
  <c r="AZ74" i="48"/>
  <c r="AY74" i="48"/>
  <c r="AX74" i="48"/>
  <c r="AP74" i="48"/>
  <c r="AO74" i="48"/>
  <c r="AN74" i="48"/>
  <c r="AM74" i="48"/>
  <c r="AF74" i="48"/>
  <c r="AE74" i="48"/>
  <c r="T74" i="48"/>
  <c r="S74" i="48"/>
  <c r="R74" i="48" s="1"/>
  <c r="Q74" i="48" s="1"/>
  <c r="L74" i="48"/>
  <c r="H74" i="48" s="1"/>
  <c r="F74" i="48" s="1"/>
  <c r="K74" i="48"/>
  <c r="J74" i="48" s="1"/>
  <c r="I74" i="48"/>
  <c r="BA73" i="48"/>
  <c r="AZ73" i="48"/>
  <c r="AY73" i="48"/>
  <c r="AX73" i="48"/>
  <c r="AP73" i="48"/>
  <c r="AO73" i="48"/>
  <c r="AN73" i="48"/>
  <c r="AM73" i="48"/>
  <c r="AF73" i="48"/>
  <c r="AE73" i="48"/>
  <c r="T73" i="48"/>
  <c r="S73" i="48"/>
  <c r="R73" i="48" s="1"/>
  <c r="Q73" i="48" s="1"/>
  <c r="L73" i="48"/>
  <c r="H73" i="48" s="1"/>
  <c r="F73" i="48" s="1"/>
  <c r="K73" i="48"/>
  <c r="J73" i="48"/>
  <c r="I73" i="48" s="1"/>
  <c r="BA72" i="48"/>
  <c r="AZ72" i="48"/>
  <c r="AY72" i="48" s="1"/>
  <c r="AX72" i="48"/>
  <c r="AP72" i="48"/>
  <c r="AO72" i="48"/>
  <c r="AF72" i="48"/>
  <c r="AE72" i="48"/>
  <c r="G72" i="48" s="1"/>
  <c r="T72" i="48"/>
  <c r="S72" i="48"/>
  <c r="R72" i="48"/>
  <c r="Q72" i="48"/>
  <c r="L72" i="48"/>
  <c r="K72" i="48"/>
  <c r="J72" i="48"/>
  <c r="I72" i="48"/>
  <c r="E72" i="48"/>
  <c r="BA71" i="48"/>
  <c r="AZ71" i="48"/>
  <c r="AY71" i="48"/>
  <c r="AX71" i="48" s="1"/>
  <c r="AP71" i="48"/>
  <c r="AO71" i="48"/>
  <c r="AN71" i="48"/>
  <c r="AM71" i="48" s="1"/>
  <c r="AF71" i="48"/>
  <c r="AE71" i="48"/>
  <c r="G71" i="48" s="1"/>
  <c r="E71" i="48" s="1"/>
  <c r="T71" i="48"/>
  <c r="R71" i="48" s="1"/>
  <c r="Q71" i="48" s="1"/>
  <c r="S71" i="48"/>
  <c r="L71" i="48"/>
  <c r="J71" i="48" s="1"/>
  <c r="I71" i="48" s="1"/>
  <c r="K71" i="48"/>
  <c r="BA70" i="48"/>
  <c r="AZ70" i="48"/>
  <c r="AY70" i="48"/>
  <c r="AX70" i="48"/>
  <c r="AP70" i="48"/>
  <c r="AO70" i="48"/>
  <c r="AN70" i="48"/>
  <c r="AM70" i="48"/>
  <c r="AF70" i="48"/>
  <c r="AE70" i="48"/>
  <c r="T70" i="48"/>
  <c r="S70" i="48"/>
  <c r="R70" i="48" s="1"/>
  <c r="Q70" i="48" s="1"/>
  <c r="L70" i="48"/>
  <c r="K70" i="48"/>
  <c r="J70" i="48" s="1"/>
  <c r="I70" i="48" s="1"/>
  <c r="H70" i="48"/>
  <c r="F70" i="48" s="1"/>
  <c r="BA69" i="48"/>
  <c r="AY69" i="48" s="1"/>
  <c r="AX69" i="48" s="1"/>
  <c r="AZ69" i="48"/>
  <c r="AP69" i="48"/>
  <c r="AN69" i="48" s="1"/>
  <c r="AM69" i="48" s="1"/>
  <c r="AO69" i="48"/>
  <c r="AF69" i="48"/>
  <c r="H69" i="48" s="1"/>
  <c r="AE69" i="48"/>
  <c r="T69" i="48"/>
  <c r="S69" i="48"/>
  <c r="R69" i="48"/>
  <c r="Q69" i="48" s="1"/>
  <c r="L69" i="48"/>
  <c r="K69" i="48"/>
  <c r="J69" i="48"/>
  <c r="I69" i="48" s="1"/>
  <c r="G69" i="48"/>
  <c r="E69" i="48" s="1"/>
  <c r="F69" i="48"/>
  <c r="BA68" i="48"/>
  <c r="AZ68" i="48"/>
  <c r="AY68" i="48" s="1"/>
  <c r="AX68" i="48" s="1"/>
  <c r="AP68" i="48"/>
  <c r="AO68" i="48"/>
  <c r="AN68" i="48" s="1"/>
  <c r="AM68" i="48" s="1"/>
  <c r="AF68" i="48"/>
  <c r="H68" i="48" s="1"/>
  <c r="F68" i="48" s="1"/>
  <c r="AE68" i="48"/>
  <c r="T68" i="48"/>
  <c r="S68" i="48"/>
  <c r="R68" i="48"/>
  <c r="Q68" i="48"/>
  <c r="L68" i="48"/>
  <c r="K68" i="48"/>
  <c r="J68" i="48"/>
  <c r="I68" i="48"/>
  <c r="BA67" i="48"/>
  <c r="AZ67" i="48"/>
  <c r="AY67" i="48"/>
  <c r="AX67" i="48" s="1"/>
  <c r="AP67" i="48"/>
  <c r="AO67" i="48"/>
  <c r="AN67" i="48"/>
  <c r="AM67" i="48" s="1"/>
  <c r="AF67" i="48"/>
  <c r="AE67" i="48"/>
  <c r="G67" i="48" s="1"/>
  <c r="E67" i="48" s="1"/>
  <c r="T67" i="48"/>
  <c r="R67" i="48" s="1"/>
  <c r="Q67" i="48" s="1"/>
  <c r="S67" i="48"/>
  <c r="L67" i="48"/>
  <c r="J67" i="48" s="1"/>
  <c r="I67" i="48" s="1"/>
  <c r="K67" i="48"/>
  <c r="BA66" i="48"/>
  <c r="AZ66" i="48"/>
  <c r="AY66" i="48"/>
  <c r="AX66" i="48"/>
  <c r="AP66" i="48"/>
  <c r="AO66" i="48"/>
  <c r="AN66" i="48"/>
  <c r="AM66" i="48"/>
  <c r="AF66" i="48"/>
  <c r="AE66" i="48"/>
  <c r="T66" i="48"/>
  <c r="S66" i="48"/>
  <c r="R66" i="48" s="1"/>
  <c r="Q66" i="48" s="1"/>
  <c r="L66" i="48"/>
  <c r="K66" i="48"/>
  <c r="J66" i="48" s="1"/>
  <c r="I66" i="48" s="1"/>
  <c r="H66" i="48"/>
  <c r="F66" i="48" s="1"/>
  <c r="BA65" i="48"/>
  <c r="AY65" i="48" s="1"/>
  <c r="AX65" i="48" s="1"/>
  <c r="AZ65" i="48"/>
  <c r="AP65" i="48"/>
  <c r="AN65" i="48" s="1"/>
  <c r="AM65" i="48" s="1"/>
  <c r="AO65" i="48"/>
  <c r="AF65" i="48"/>
  <c r="AE65" i="48"/>
  <c r="T65" i="48"/>
  <c r="S65" i="48"/>
  <c r="R65" i="48"/>
  <c r="Q65" i="48" s="1"/>
  <c r="L65" i="48"/>
  <c r="K65" i="48"/>
  <c r="J65" i="48"/>
  <c r="I65" i="48" s="1"/>
  <c r="G65" i="48"/>
  <c r="E65" i="48" s="1"/>
  <c r="BA64" i="48"/>
  <c r="AZ64" i="48"/>
  <c r="AY64" i="48" s="1"/>
  <c r="AX64" i="48" s="1"/>
  <c r="AP64" i="48"/>
  <c r="AO64" i="48"/>
  <c r="AN64" i="48" s="1"/>
  <c r="AM64" i="48" s="1"/>
  <c r="AF64" i="48"/>
  <c r="H64" i="48" s="1"/>
  <c r="F64" i="48" s="1"/>
  <c r="AE64" i="48"/>
  <c r="T64" i="48"/>
  <c r="S64" i="48"/>
  <c r="R64" i="48"/>
  <c r="Q64" i="48"/>
  <c r="L64" i="48"/>
  <c r="K64" i="48"/>
  <c r="J64" i="48"/>
  <c r="I64" i="48"/>
  <c r="BA63" i="48"/>
  <c r="AZ63" i="48"/>
  <c r="AY63" i="48"/>
  <c r="AX63" i="48" s="1"/>
  <c r="AP63" i="48"/>
  <c r="AO63" i="48"/>
  <c r="AN63" i="48"/>
  <c r="AM63" i="48" s="1"/>
  <c r="AF63" i="48"/>
  <c r="AE63" i="48"/>
  <c r="G63" i="48" s="1"/>
  <c r="E63" i="48" s="1"/>
  <c r="T63" i="48"/>
  <c r="R63" i="48" s="1"/>
  <c r="Q63" i="48" s="1"/>
  <c r="S63" i="48"/>
  <c r="L63" i="48"/>
  <c r="J63" i="48" s="1"/>
  <c r="I63" i="48" s="1"/>
  <c r="K63" i="48"/>
  <c r="H63" i="48"/>
  <c r="F63" i="48" s="1"/>
  <c r="D63" i="48"/>
  <c r="BA62" i="48"/>
  <c r="AZ62" i="48"/>
  <c r="AY62" i="48"/>
  <c r="AX62" i="48"/>
  <c r="AP62" i="48"/>
  <c r="AO62" i="48"/>
  <c r="AN62" i="48"/>
  <c r="AM62" i="48"/>
  <c r="AF62" i="48"/>
  <c r="AE62" i="48"/>
  <c r="T62" i="48"/>
  <c r="S62" i="48"/>
  <c r="R62" i="48" s="1"/>
  <c r="Q62" i="48" s="1"/>
  <c r="L62" i="48"/>
  <c r="K62" i="48"/>
  <c r="J62" i="48" s="1"/>
  <c r="I62" i="48" s="1"/>
  <c r="H62" i="48"/>
  <c r="F62" i="48" s="1"/>
  <c r="BA61" i="48"/>
  <c r="AY61" i="48" s="1"/>
  <c r="AX61" i="48" s="1"/>
  <c r="AZ61" i="48"/>
  <c r="AP61" i="48"/>
  <c r="AN61" i="48" s="1"/>
  <c r="AM61" i="48" s="1"/>
  <c r="AO61" i="48"/>
  <c r="AF61" i="48"/>
  <c r="AE61" i="48"/>
  <c r="T61" i="48"/>
  <c r="S61" i="48"/>
  <c r="R61" i="48"/>
  <c r="Q61" i="48" s="1"/>
  <c r="L61" i="48"/>
  <c r="K61" i="48"/>
  <c r="J61" i="48"/>
  <c r="I61" i="48" s="1"/>
  <c r="G61" i="48"/>
  <c r="E61" i="48" s="1"/>
  <c r="BA60" i="48"/>
  <c r="AZ60" i="48"/>
  <c r="AY60" i="48" s="1"/>
  <c r="AX60" i="48" s="1"/>
  <c r="AP60" i="48"/>
  <c r="AO60" i="48"/>
  <c r="AN60" i="48" s="1"/>
  <c r="AM60" i="48" s="1"/>
  <c r="AF60" i="48"/>
  <c r="H60" i="48" s="1"/>
  <c r="F60" i="48" s="1"/>
  <c r="AE60" i="48"/>
  <c r="G60" i="48" s="1"/>
  <c r="E60" i="48" s="1"/>
  <c r="D60" i="48" s="1"/>
  <c r="T60" i="48"/>
  <c r="S60" i="48"/>
  <c r="R60" i="48"/>
  <c r="Q60" i="48"/>
  <c r="L60" i="48"/>
  <c r="K60" i="48"/>
  <c r="J60" i="48"/>
  <c r="I60" i="48"/>
  <c r="BA59" i="48"/>
  <c r="AZ59" i="48"/>
  <c r="AY59" i="48"/>
  <c r="AX59" i="48" s="1"/>
  <c r="AP59" i="48"/>
  <c r="AO59" i="48"/>
  <c r="AN59" i="48"/>
  <c r="AM59" i="48" s="1"/>
  <c r="AF59" i="48"/>
  <c r="AE59" i="48"/>
  <c r="G59" i="48" s="1"/>
  <c r="E59" i="48" s="1"/>
  <c r="T59" i="48"/>
  <c r="R59" i="48" s="1"/>
  <c r="Q59" i="48" s="1"/>
  <c r="S59" i="48"/>
  <c r="L59" i="48"/>
  <c r="J59" i="48" s="1"/>
  <c r="I59" i="48" s="1"/>
  <c r="K59" i="48"/>
  <c r="BF58" i="48"/>
  <c r="BE58" i="48"/>
  <c r="BD58" i="48"/>
  <c r="BC58" i="48"/>
  <c r="BB58" i="48"/>
  <c r="AW58" i="48"/>
  <c r="AV58" i="48"/>
  <c r="AU58" i="48"/>
  <c r="AT58" i="48"/>
  <c r="AS58" i="48"/>
  <c r="AR58" i="48"/>
  <c r="AQ58" i="48"/>
  <c r="AN58" i="48"/>
  <c r="AM58" i="48"/>
  <c r="AL58" i="48"/>
  <c r="AK58" i="48"/>
  <c r="AJ58" i="48"/>
  <c r="AI58" i="48"/>
  <c r="AH58" i="48"/>
  <c r="AG58" i="48"/>
  <c r="AB58" i="48"/>
  <c r="AA58" i="48"/>
  <c r="Z58" i="48"/>
  <c r="Y58" i="48"/>
  <c r="X58" i="48"/>
  <c r="W58" i="48"/>
  <c r="V58" i="48"/>
  <c r="U58" i="48"/>
  <c r="P58" i="48"/>
  <c r="O58" i="48"/>
  <c r="N58" i="48"/>
  <c r="M58" i="48"/>
  <c r="BF57" i="48"/>
  <c r="BE57" i="48"/>
  <c r="BD57" i="48"/>
  <c r="BC57" i="48"/>
  <c r="BB57" i="48"/>
  <c r="AW57" i="48"/>
  <c r="AV57" i="48"/>
  <c r="AU57" i="48"/>
  <c r="AT57" i="48"/>
  <c r="AS57" i="48"/>
  <c r="AR57" i="48"/>
  <c r="AQ57" i="48"/>
  <c r="AN57" i="48"/>
  <c r="AM57" i="48"/>
  <c r="AL57" i="48"/>
  <c r="AK57" i="48"/>
  <c r="AJ57" i="48"/>
  <c r="AI57" i="48"/>
  <c r="AH57" i="48"/>
  <c r="AG57" i="48"/>
  <c r="AB57" i="48"/>
  <c r="AA57" i="48"/>
  <c r="Z57" i="48"/>
  <c r="Y57" i="48"/>
  <c r="X57" i="48"/>
  <c r="W57" i="48"/>
  <c r="V57" i="48"/>
  <c r="U57" i="48"/>
  <c r="P57" i="48"/>
  <c r="O57" i="48"/>
  <c r="N57" i="48"/>
  <c r="M57" i="48"/>
  <c r="BA56" i="48"/>
  <c r="AZ56" i="48"/>
  <c r="AY56" i="48"/>
  <c r="AX56" i="48"/>
  <c r="AP56" i="48"/>
  <c r="AO56" i="48"/>
  <c r="AN56" i="48"/>
  <c r="AM56" i="48"/>
  <c r="AF56" i="48"/>
  <c r="AE56" i="48"/>
  <c r="T56" i="48"/>
  <c r="S56" i="48"/>
  <c r="R56" i="48" s="1"/>
  <c r="Q56" i="48" s="1"/>
  <c r="L56" i="48"/>
  <c r="K56" i="48"/>
  <c r="J56" i="48" s="1"/>
  <c r="I56" i="48" s="1"/>
  <c r="H56" i="48"/>
  <c r="F56" i="48" s="1"/>
  <c r="G56" i="48"/>
  <c r="E56" i="48" s="1"/>
  <c r="D56" i="48" s="1"/>
  <c r="BA55" i="48"/>
  <c r="AY55" i="48" s="1"/>
  <c r="AX55" i="48" s="1"/>
  <c r="AZ55" i="48"/>
  <c r="AP55" i="48"/>
  <c r="AN55" i="48" s="1"/>
  <c r="AM55" i="48" s="1"/>
  <c r="AO55" i="48"/>
  <c r="AF55" i="48"/>
  <c r="H55" i="48" s="1"/>
  <c r="F55" i="48" s="1"/>
  <c r="AE55" i="48"/>
  <c r="T55" i="48"/>
  <c r="S55" i="48"/>
  <c r="R55" i="48"/>
  <c r="Q55" i="48" s="1"/>
  <c r="L55" i="48"/>
  <c r="K55" i="48"/>
  <c r="J55" i="48"/>
  <c r="I55" i="48" s="1"/>
  <c r="G55" i="48"/>
  <c r="E55" i="48" s="1"/>
  <c r="BA54" i="48"/>
  <c r="AZ54" i="48"/>
  <c r="AY54" i="48" s="1"/>
  <c r="AX54" i="48" s="1"/>
  <c r="AP54" i="48"/>
  <c r="AO54" i="48"/>
  <c r="AN54" i="48" s="1"/>
  <c r="AM54" i="48" s="1"/>
  <c r="AF54" i="48"/>
  <c r="H54" i="48" s="1"/>
  <c r="F54" i="48" s="1"/>
  <c r="AE54" i="48"/>
  <c r="T54" i="48"/>
  <c r="S54" i="48"/>
  <c r="R54" i="48"/>
  <c r="Q54" i="48"/>
  <c r="L54" i="48"/>
  <c r="K54" i="48"/>
  <c r="J54" i="48"/>
  <c r="I54" i="48"/>
  <c r="BA53" i="48"/>
  <c r="AZ53" i="48"/>
  <c r="AY53" i="48"/>
  <c r="AX53" i="48" s="1"/>
  <c r="AP53" i="48"/>
  <c r="AO53" i="48"/>
  <c r="AN53" i="48"/>
  <c r="AM53" i="48" s="1"/>
  <c r="AF53" i="48"/>
  <c r="AE53" i="48"/>
  <c r="G53" i="48" s="1"/>
  <c r="E53" i="48" s="1"/>
  <c r="T53" i="48"/>
  <c r="R53" i="48" s="1"/>
  <c r="Q53" i="48" s="1"/>
  <c r="S53" i="48"/>
  <c r="L53" i="48"/>
  <c r="J53" i="48" s="1"/>
  <c r="I53" i="48" s="1"/>
  <c r="K53" i="48"/>
  <c r="BA52" i="48"/>
  <c r="AZ52" i="48"/>
  <c r="AY52" i="48"/>
  <c r="AX52" i="48"/>
  <c r="AP52" i="48"/>
  <c r="AO52" i="48"/>
  <c r="AN52" i="48"/>
  <c r="AM52" i="48"/>
  <c r="AF52" i="48"/>
  <c r="AE52" i="48"/>
  <c r="T52" i="48"/>
  <c r="S52" i="48"/>
  <c r="R52" i="48" s="1"/>
  <c r="Q52" i="48" s="1"/>
  <c r="L52" i="48"/>
  <c r="K52" i="48"/>
  <c r="J52" i="48" s="1"/>
  <c r="I52" i="48" s="1"/>
  <c r="H52" i="48"/>
  <c r="F52" i="48" s="1"/>
  <c r="BA51" i="48"/>
  <c r="AY51" i="48" s="1"/>
  <c r="AX51" i="48" s="1"/>
  <c r="AZ51" i="48"/>
  <c r="AP51" i="48"/>
  <c r="AN51" i="48" s="1"/>
  <c r="AM51" i="48" s="1"/>
  <c r="AO51" i="48"/>
  <c r="AF51" i="48"/>
  <c r="AE51" i="48"/>
  <c r="T51" i="48"/>
  <c r="S51" i="48"/>
  <c r="R51" i="48"/>
  <c r="Q51" i="48" s="1"/>
  <c r="L51" i="48"/>
  <c r="K51" i="48"/>
  <c r="J51" i="48"/>
  <c r="I51" i="48" s="1"/>
  <c r="G51" i="48"/>
  <c r="E51" i="48" s="1"/>
  <c r="BA50" i="48"/>
  <c r="AZ50" i="48"/>
  <c r="AY50" i="48" s="1"/>
  <c r="AX50" i="48" s="1"/>
  <c r="AP50" i="48"/>
  <c r="AO50" i="48"/>
  <c r="AN50" i="48" s="1"/>
  <c r="AM50" i="48" s="1"/>
  <c r="AF50" i="48"/>
  <c r="H50" i="48" s="1"/>
  <c r="F50" i="48" s="1"/>
  <c r="AE50" i="48"/>
  <c r="T50" i="48"/>
  <c r="S50" i="48"/>
  <c r="R50" i="48"/>
  <c r="Q50" i="48"/>
  <c r="L50" i="48"/>
  <c r="K50" i="48"/>
  <c r="J50" i="48"/>
  <c r="I50" i="48"/>
  <c r="BA49" i="48"/>
  <c r="AZ49" i="48"/>
  <c r="AY49" i="48"/>
  <c r="AX49" i="48" s="1"/>
  <c r="AP49" i="48"/>
  <c r="AO49" i="48"/>
  <c r="AN49" i="48"/>
  <c r="AM49" i="48" s="1"/>
  <c r="AF49" i="48"/>
  <c r="AE49" i="48"/>
  <c r="G49" i="48" s="1"/>
  <c r="E49" i="48" s="1"/>
  <c r="T49" i="48"/>
  <c r="R49" i="48" s="1"/>
  <c r="Q49" i="48" s="1"/>
  <c r="S49" i="48"/>
  <c r="L49" i="48"/>
  <c r="J49" i="48" s="1"/>
  <c r="I49" i="48" s="1"/>
  <c r="K49" i="48"/>
  <c r="BA48" i="48"/>
  <c r="AZ48" i="48"/>
  <c r="AY48" i="48"/>
  <c r="AX48" i="48"/>
  <c r="AP48" i="48"/>
  <c r="AO48" i="48"/>
  <c r="AN48" i="48"/>
  <c r="AM48" i="48"/>
  <c r="AF48" i="48"/>
  <c r="AE48" i="48"/>
  <c r="T48" i="48"/>
  <c r="S48" i="48"/>
  <c r="R48" i="48" s="1"/>
  <c r="Q48" i="48" s="1"/>
  <c r="L48" i="48"/>
  <c r="K48" i="48"/>
  <c r="J48" i="48" s="1"/>
  <c r="I48" i="48" s="1"/>
  <c r="H48" i="48"/>
  <c r="F48" i="48" s="1"/>
  <c r="BA47" i="48"/>
  <c r="AY47" i="48" s="1"/>
  <c r="AX47" i="48" s="1"/>
  <c r="AZ47" i="48"/>
  <c r="AP47" i="48"/>
  <c r="AN47" i="48" s="1"/>
  <c r="AM47" i="48" s="1"/>
  <c r="AO47" i="48"/>
  <c r="AF47" i="48"/>
  <c r="AE47" i="48"/>
  <c r="T47" i="48"/>
  <c r="S47" i="48"/>
  <c r="R47" i="48"/>
  <c r="Q47" i="48" s="1"/>
  <c r="L47" i="48"/>
  <c r="K47" i="48"/>
  <c r="J47" i="48"/>
  <c r="I47" i="48" s="1"/>
  <c r="G47" i="48"/>
  <c r="E47" i="48" s="1"/>
  <c r="BA46" i="48"/>
  <c r="AZ46" i="48"/>
  <c r="AY46" i="48" s="1"/>
  <c r="AX46" i="48" s="1"/>
  <c r="AP46" i="48"/>
  <c r="AO46" i="48"/>
  <c r="AN46" i="48" s="1"/>
  <c r="AM46" i="48" s="1"/>
  <c r="AF46" i="48"/>
  <c r="H46" i="48" s="1"/>
  <c r="F46" i="48" s="1"/>
  <c r="AE46" i="48"/>
  <c r="T46" i="48"/>
  <c r="S46" i="48"/>
  <c r="R46" i="48"/>
  <c r="Q46" i="48"/>
  <c r="L46" i="48"/>
  <c r="K46" i="48"/>
  <c r="J46" i="48"/>
  <c r="I46" i="48"/>
  <c r="BA45" i="48"/>
  <c r="AZ45" i="48"/>
  <c r="AY45" i="48"/>
  <c r="AX45" i="48" s="1"/>
  <c r="AP45" i="48"/>
  <c r="AO45" i="48"/>
  <c r="AN45" i="48"/>
  <c r="AM45" i="48" s="1"/>
  <c r="AF45" i="48"/>
  <c r="AE45" i="48"/>
  <c r="G45" i="48" s="1"/>
  <c r="E45" i="48" s="1"/>
  <c r="T45" i="48"/>
  <c r="R45" i="48" s="1"/>
  <c r="Q45" i="48" s="1"/>
  <c r="S45" i="48"/>
  <c r="L45" i="48"/>
  <c r="J45" i="48" s="1"/>
  <c r="I45" i="48" s="1"/>
  <c r="K45" i="48"/>
  <c r="H45" i="48"/>
  <c r="F45" i="48" s="1"/>
  <c r="D45" i="48"/>
  <c r="BA44" i="48"/>
  <c r="AZ44" i="48"/>
  <c r="AY44" i="48"/>
  <c r="AX44" i="48"/>
  <c r="AP44" i="48"/>
  <c r="AO44" i="48"/>
  <c r="AN44" i="48"/>
  <c r="AM44" i="48"/>
  <c r="AF44" i="48"/>
  <c r="AE44" i="48"/>
  <c r="T44" i="48"/>
  <c r="S44" i="48"/>
  <c r="R44" i="48" s="1"/>
  <c r="Q44" i="48" s="1"/>
  <c r="L44" i="48"/>
  <c r="K44" i="48"/>
  <c r="J44" i="48" s="1"/>
  <c r="I44" i="48" s="1"/>
  <c r="H44" i="48"/>
  <c r="F44" i="48" s="1"/>
  <c r="BA43" i="48"/>
  <c r="AY43" i="48" s="1"/>
  <c r="AX43" i="48" s="1"/>
  <c r="AZ43" i="48"/>
  <c r="AP43" i="48"/>
  <c r="AN43" i="48" s="1"/>
  <c r="AM43" i="48" s="1"/>
  <c r="AO43" i="48"/>
  <c r="AF43" i="48"/>
  <c r="AE43" i="48"/>
  <c r="T43" i="48"/>
  <c r="S43" i="48"/>
  <c r="R43" i="48"/>
  <c r="Q43" i="48" s="1"/>
  <c r="L43" i="48"/>
  <c r="K43" i="48"/>
  <c r="J43" i="48"/>
  <c r="I43" i="48" s="1"/>
  <c r="G43" i="48"/>
  <c r="E43" i="48" s="1"/>
  <c r="BF42" i="48"/>
  <c r="BE42" i="48"/>
  <c r="BD42" i="48"/>
  <c r="BC42" i="48"/>
  <c r="BB42" i="48"/>
  <c r="AW42" i="48"/>
  <c r="AV42" i="48"/>
  <c r="AU42" i="48"/>
  <c r="AT42" i="48"/>
  <c r="AS42" i="48"/>
  <c r="AR42" i="48"/>
  <c r="AQ42" i="48"/>
  <c r="AL42" i="48"/>
  <c r="AK42" i="48"/>
  <c r="AJ42" i="48"/>
  <c r="AI42" i="48"/>
  <c r="AH42" i="48"/>
  <c r="AG42" i="48"/>
  <c r="AB42" i="48"/>
  <c r="AA42" i="48"/>
  <c r="Z42" i="48"/>
  <c r="Y42" i="48"/>
  <c r="X42" i="48"/>
  <c r="W42" i="48"/>
  <c r="V42" i="48"/>
  <c r="U42" i="48"/>
  <c r="P42" i="48"/>
  <c r="O42" i="48"/>
  <c r="N42" i="48"/>
  <c r="M42" i="48"/>
  <c r="BF41" i="48"/>
  <c r="BE41" i="48"/>
  <c r="BD41" i="48"/>
  <c r="BC41" i="48"/>
  <c r="BB41" i="48"/>
  <c r="AW41" i="48"/>
  <c r="AV41" i="48"/>
  <c r="AU41" i="48"/>
  <c r="AT41" i="48"/>
  <c r="AS41" i="48"/>
  <c r="AR41" i="48"/>
  <c r="AQ41" i="48"/>
  <c r="AL41" i="48"/>
  <c r="AK41" i="48"/>
  <c r="AJ41" i="48"/>
  <c r="AI41" i="48"/>
  <c r="AH41" i="48"/>
  <c r="AG41" i="48"/>
  <c r="AB41" i="48"/>
  <c r="AA41" i="48"/>
  <c r="Z41" i="48"/>
  <c r="Y41" i="48"/>
  <c r="X41" i="48"/>
  <c r="W41" i="48"/>
  <c r="V41" i="48"/>
  <c r="U41" i="48"/>
  <c r="P41" i="48"/>
  <c r="O41" i="48"/>
  <c r="N41" i="48"/>
  <c r="M41" i="48"/>
  <c r="BA40" i="48"/>
  <c r="AZ40" i="48"/>
  <c r="AY40" i="48" s="1"/>
  <c r="AX40" i="48" s="1"/>
  <c r="AP40" i="48"/>
  <c r="AO40" i="48"/>
  <c r="AN40" i="48" s="1"/>
  <c r="AM40" i="48" s="1"/>
  <c r="AF40" i="48"/>
  <c r="H40" i="48" s="1"/>
  <c r="F40" i="48" s="1"/>
  <c r="AE40" i="48"/>
  <c r="T40" i="48"/>
  <c r="S40" i="48"/>
  <c r="R40" i="48"/>
  <c r="Q40" i="48"/>
  <c r="L40" i="48"/>
  <c r="K40" i="48"/>
  <c r="J40" i="48"/>
  <c r="I40" i="48"/>
  <c r="BA39" i="48"/>
  <c r="AZ39" i="48"/>
  <c r="AY39" i="48" s="1"/>
  <c r="AX39" i="48" s="1"/>
  <c r="AP39" i="48"/>
  <c r="AO39" i="48"/>
  <c r="AN39" i="48"/>
  <c r="AM39" i="48" s="1"/>
  <c r="AF39" i="48"/>
  <c r="AE39" i="48"/>
  <c r="T39" i="48"/>
  <c r="R39" i="48" s="1"/>
  <c r="Q39" i="48" s="1"/>
  <c r="S39" i="48"/>
  <c r="L39" i="48"/>
  <c r="J39" i="48" s="1"/>
  <c r="K39" i="48"/>
  <c r="I39" i="48"/>
  <c r="BA38" i="48"/>
  <c r="AZ38" i="48"/>
  <c r="AY38" i="48"/>
  <c r="AX38" i="48"/>
  <c r="AP38" i="48"/>
  <c r="AO38" i="48"/>
  <c r="AN38" i="48"/>
  <c r="AM38" i="48"/>
  <c r="AF38" i="48"/>
  <c r="AE38" i="48"/>
  <c r="T38" i="48"/>
  <c r="S38" i="48"/>
  <c r="R38" i="48" s="1"/>
  <c r="Q38" i="48" s="1"/>
  <c r="L38" i="48"/>
  <c r="H38" i="48" s="1"/>
  <c r="F38" i="48" s="1"/>
  <c r="K38" i="48"/>
  <c r="BA37" i="48"/>
  <c r="AY37" i="48" s="1"/>
  <c r="AZ37" i="48"/>
  <c r="AX37" i="48"/>
  <c r="AP37" i="48"/>
  <c r="AN37" i="48" s="1"/>
  <c r="AM37" i="48" s="1"/>
  <c r="AO37" i="48"/>
  <c r="AF37" i="48"/>
  <c r="AE37" i="48"/>
  <c r="T37" i="48"/>
  <c r="S37" i="48"/>
  <c r="R37" i="48"/>
  <c r="Q37" i="48" s="1"/>
  <c r="L37" i="48"/>
  <c r="K37" i="48"/>
  <c r="J37" i="48"/>
  <c r="I37" i="48" s="1"/>
  <c r="G37" i="48"/>
  <c r="E37" i="48" s="1"/>
  <c r="BA36" i="48"/>
  <c r="AZ36" i="48"/>
  <c r="AY36" i="48" s="1"/>
  <c r="AX36" i="48" s="1"/>
  <c r="AP36" i="48"/>
  <c r="AO36" i="48"/>
  <c r="AN36" i="48" s="1"/>
  <c r="AM36" i="48" s="1"/>
  <c r="AF36" i="48"/>
  <c r="AE36" i="48"/>
  <c r="T36" i="48"/>
  <c r="S36" i="48"/>
  <c r="R36" i="48"/>
  <c r="Q36" i="48"/>
  <c r="L36" i="48"/>
  <c r="K36" i="48"/>
  <c r="J36" i="48"/>
  <c r="I36" i="48"/>
  <c r="BA35" i="48"/>
  <c r="AZ35" i="48"/>
  <c r="AY35" i="48"/>
  <c r="AX35" i="48" s="1"/>
  <c r="AP35" i="48"/>
  <c r="AO35" i="48"/>
  <c r="AN35" i="48"/>
  <c r="AM35" i="48" s="1"/>
  <c r="AF35" i="48"/>
  <c r="AE35" i="48"/>
  <c r="G35" i="48" s="1"/>
  <c r="T35" i="48"/>
  <c r="R35" i="48" s="1"/>
  <c r="S35" i="48"/>
  <c r="Q35" i="48"/>
  <c r="L35" i="48"/>
  <c r="J35" i="48" s="1"/>
  <c r="I35" i="48" s="1"/>
  <c r="K35" i="48"/>
  <c r="E35" i="48"/>
  <c r="BA34" i="48"/>
  <c r="AZ34" i="48"/>
  <c r="AY34" i="48"/>
  <c r="AX34" i="48" s="1"/>
  <c r="AP34" i="48"/>
  <c r="AO34" i="48"/>
  <c r="AN34" i="48"/>
  <c r="AM34" i="48" s="1"/>
  <c r="AF34" i="48"/>
  <c r="AE34" i="48"/>
  <c r="T34" i="48"/>
  <c r="H34" i="48" s="1"/>
  <c r="F34" i="48" s="1"/>
  <c r="S34" i="48"/>
  <c r="L34" i="48"/>
  <c r="K34" i="48"/>
  <c r="J34" i="48" s="1"/>
  <c r="I34" i="48" s="1"/>
  <c r="BA33" i="48"/>
  <c r="AY33" i="48" s="1"/>
  <c r="AX33" i="48" s="1"/>
  <c r="AZ33" i="48"/>
  <c r="AP33" i="48"/>
  <c r="AN33" i="48" s="1"/>
  <c r="AO33" i="48"/>
  <c r="AM33" i="48"/>
  <c r="AF33" i="48"/>
  <c r="AE33" i="48"/>
  <c r="T33" i="48"/>
  <c r="S33" i="48"/>
  <c r="R33" i="48" s="1"/>
  <c r="Q33" i="48" s="1"/>
  <c r="L33" i="48"/>
  <c r="K33" i="48"/>
  <c r="G33" i="48" s="1"/>
  <c r="E33" i="48" s="1"/>
  <c r="J33" i="48"/>
  <c r="I33" i="48" s="1"/>
  <c r="BA32" i="48"/>
  <c r="AZ32" i="48"/>
  <c r="AY32" i="48" s="1"/>
  <c r="AX32" i="48" s="1"/>
  <c r="AP32" i="48"/>
  <c r="AO32" i="48"/>
  <c r="AN32" i="48" s="1"/>
  <c r="AM32" i="48" s="1"/>
  <c r="AF32" i="48"/>
  <c r="H32" i="48" s="1"/>
  <c r="F32" i="48" s="1"/>
  <c r="AE32" i="48"/>
  <c r="T32" i="48"/>
  <c r="S32" i="48"/>
  <c r="R32" i="48"/>
  <c r="Q32" i="48"/>
  <c r="L32" i="48"/>
  <c r="K32" i="48"/>
  <c r="J32" i="48"/>
  <c r="I32" i="48"/>
  <c r="BA31" i="48"/>
  <c r="AZ31" i="48"/>
  <c r="AY31" i="48" s="1"/>
  <c r="AX31" i="48" s="1"/>
  <c r="AP31" i="48"/>
  <c r="AO31" i="48"/>
  <c r="AN31" i="48"/>
  <c r="AM31" i="48" s="1"/>
  <c r="AF31" i="48"/>
  <c r="AE31" i="48"/>
  <c r="T31" i="48"/>
  <c r="R31" i="48" s="1"/>
  <c r="Q31" i="48" s="1"/>
  <c r="S31" i="48"/>
  <c r="L31" i="48"/>
  <c r="J31" i="48" s="1"/>
  <c r="K31" i="48"/>
  <c r="I31" i="48"/>
  <c r="BA30" i="48"/>
  <c r="AZ30" i="48"/>
  <c r="AY30" i="48"/>
  <c r="AX30" i="48"/>
  <c r="AP30" i="48"/>
  <c r="AO30" i="48"/>
  <c r="AN30" i="48"/>
  <c r="AM30" i="48"/>
  <c r="AF30" i="48"/>
  <c r="AE30" i="48"/>
  <c r="T30" i="48"/>
  <c r="S30" i="48"/>
  <c r="R30" i="48" s="1"/>
  <c r="Q30" i="48" s="1"/>
  <c r="L30" i="48"/>
  <c r="H30" i="48" s="1"/>
  <c r="F30" i="48" s="1"/>
  <c r="K30" i="48"/>
  <c r="BA29" i="48"/>
  <c r="AY29" i="48" s="1"/>
  <c r="AZ29" i="48"/>
  <c r="AX29" i="48"/>
  <c r="AP29" i="48"/>
  <c r="AN29" i="48" s="1"/>
  <c r="AM29" i="48" s="1"/>
  <c r="AO29" i="48"/>
  <c r="AF29" i="48"/>
  <c r="AE29" i="48"/>
  <c r="T29" i="48"/>
  <c r="S29" i="48"/>
  <c r="R29" i="48"/>
  <c r="Q29" i="48" s="1"/>
  <c r="L29" i="48"/>
  <c r="K29" i="48"/>
  <c r="J29" i="48"/>
  <c r="I29" i="48" s="1"/>
  <c r="G29" i="48"/>
  <c r="E29" i="48" s="1"/>
  <c r="BA28" i="48"/>
  <c r="AZ28" i="48"/>
  <c r="AY28" i="48" s="1"/>
  <c r="AX28" i="48" s="1"/>
  <c r="AP28" i="48"/>
  <c r="AO28" i="48"/>
  <c r="AN28" i="48" s="1"/>
  <c r="AM28" i="48" s="1"/>
  <c r="AF28" i="48"/>
  <c r="AE28" i="48"/>
  <c r="T28" i="48"/>
  <c r="S28" i="48"/>
  <c r="R28" i="48"/>
  <c r="Q28" i="48"/>
  <c r="L28" i="48"/>
  <c r="K28" i="48"/>
  <c r="J28" i="48"/>
  <c r="I28" i="48"/>
  <c r="BA27" i="48"/>
  <c r="AZ27" i="48"/>
  <c r="AY27" i="48"/>
  <c r="AX27" i="48" s="1"/>
  <c r="AP27" i="48"/>
  <c r="AO27" i="48"/>
  <c r="AN27" i="48"/>
  <c r="AM27" i="48" s="1"/>
  <c r="AF27" i="48"/>
  <c r="AE27" i="48"/>
  <c r="G27" i="48" s="1"/>
  <c r="T27" i="48"/>
  <c r="R27" i="48" s="1"/>
  <c r="S27" i="48"/>
  <c r="Q27" i="48"/>
  <c r="L27" i="48"/>
  <c r="J27" i="48" s="1"/>
  <c r="I27" i="48" s="1"/>
  <c r="K27" i="48"/>
  <c r="E27" i="48"/>
  <c r="BA26" i="48"/>
  <c r="AZ26" i="48"/>
  <c r="AY26" i="48"/>
  <c r="AX26" i="48" s="1"/>
  <c r="AP26" i="48"/>
  <c r="AO26" i="48"/>
  <c r="AN26" i="48"/>
  <c r="AM26" i="48" s="1"/>
  <c r="AF26" i="48"/>
  <c r="AE26" i="48"/>
  <c r="T26" i="48"/>
  <c r="H26" i="48" s="1"/>
  <c r="F26" i="48" s="1"/>
  <c r="S26" i="48"/>
  <c r="L26" i="48"/>
  <c r="K26" i="48"/>
  <c r="J26" i="48" s="1"/>
  <c r="I26" i="48" s="1"/>
  <c r="BF25" i="48"/>
  <c r="BF183" i="48" s="1"/>
  <c r="BE25" i="48"/>
  <c r="BD25" i="48"/>
  <c r="BD183" i="48" s="1"/>
  <c r="BC25" i="48"/>
  <c r="BC183" i="48" s="1"/>
  <c r="BB25" i="48"/>
  <c r="BB183" i="48" s="1"/>
  <c r="AW25" i="48"/>
  <c r="AV25" i="48"/>
  <c r="AU25" i="48"/>
  <c r="AT25" i="48"/>
  <c r="AT183" i="48" s="1"/>
  <c r="AS25" i="48"/>
  <c r="AR25" i="48"/>
  <c r="AR183" i="48" s="1"/>
  <c r="AQ25" i="48"/>
  <c r="AL25" i="48"/>
  <c r="AL183" i="48" s="1"/>
  <c r="AK25" i="48"/>
  <c r="AJ25" i="48"/>
  <c r="AI25" i="48"/>
  <c r="AI183" i="48" s="1"/>
  <c r="AH25" i="48"/>
  <c r="AH183" i="48" s="1"/>
  <c r="AG25" i="48"/>
  <c r="AB25" i="48"/>
  <c r="AB183" i="48" s="1"/>
  <c r="AA25" i="48"/>
  <c r="Z25" i="48"/>
  <c r="Y25" i="48"/>
  <c r="X25" i="48"/>
  <c r="X183" i="48" s="1"/>
  <c r="W25" i="48"/>
  <c r="V25" i="48"/>
  <c r="U25" i="48"/>
  <c r="P25" i="48"/>
  <c r="P183" i="48" s="1"/>
  <c r="O25" i="48"/>
  <c r="N25" i="48"/>
  <c r="M25" i="48"/>
  <c r="BF24" i="48"/>
  <c r="BF182" i="48" s="1"/>
  <c r="BE24" i="48"/>
  <c r="BD24" i="48"/>
  <c r="BC24" i="48"/>
  <c r="BB24" i="48"/>
  <c r="BB182" i="48" s="1"/>
  <c r="AW24" i="48"/>
  <c r="AV24" i="48"/>
  <c r="AU24" i="48"/>
  <c r="AT24" i="48"/>
  <c r="AT182" i="48" s="1"/>
  <c r="AS24" i="48"/>
  <c r="AR24" i="48"/>
  <c r="AQ24" i="48"/>
  <c r="AL24" i="48"/>
  <c r="AL182" i="48" s="1"/>
  <c r="AK24" i="48"/>
  <c r="AJ24" i="48"/>
  <c r="AI24" i="48"/>
  <c r="AH24" i="48"/>
  <c r="AH182" i="48" s="1"/>
  <c r="AG24" i="48"/>
  <c r="AB24" i="48"/>
  <c r="AA24" i="48"/>
  <c r="Z24" i="48"/>
  <c r="Z182" i="48" s="1"/>
  <c r="Y24" i="48"/>
  <c r="Y182" i="48" s="1"/>
  <c r="X24" i="48"/>
  <c r="W24" i="48"/>
  <c r="V24" i="48"/>
  <c r="V182" i="48" s="1"/>
  <c r="U24" i="48"/>
  <c r="U182" i="48" s="1"/>
  <c r="P24" i="48"/>
  <c r="O24" i="48"/>
  <c r="N24" i="48"/>
  <c r="N182" i="48" s="1"/>
  <c r="M24" i="48"/>
  <c r="M182" i="48" s="1"/>
  <c r="BA23" i="48"/>
  <c r="AY23" i="48" s="1"/>
  <c r="AZ23" i="48"/>
  <c r="AX23" i="48"/>
  <c r="AP23" i="48"/>
  <c r="AN23" i="48" s="1"/>
  <c r="AM23" i="48" s="1"/>
  <c r="AO23" i="48"/>
  <c r="AF23" i="48"/>
  <c r="AE23" i="48"/>
  <c r="T23" i="48"/>
  <c r="S23" i="48"/>
  <c r="R23" i="48"/>
  <c r="Q23" i="48" s="1"/>
  <c r="L23" i="48"/>
  <c r="H23" i="48" s="1"/>
  <c r="K23" i="48"/>
  <c r="J23" i="48"/>
  <c r="I23" i="48" s="1"/>
  <c r="G23" i="48"/>
  <c r="E23" i="48" s="1"/>
  <c r="F23" i="48"/>
  <c r="BA22" i="48"/>
  <c r="AZ22" i="48"/>
  <c r="AY22" i="48" s="1"/>
  <c r="AX22" i="48" s="1"/>
  <c r="AP22" i="48"/>
  <c r="AO22" i="48"/>
  <c r="AN22" i="48" s="1"/>
  <c r="AM22" i="48" s="1"/>
  <c r="AF22" i="48"/>
  <c r="AE22" i="48"/>
  <c r="T22" i="48"/>
  <c r="S22" i="48"/>
  <c r="R22" i="48"/>
  <c r="Q22" i="48"/>
  <c r="L22" i="48"/>
  <c r="K22" i="48"/>
  <c r="J22" i="48"/>
  <c r="I22" i="48"/>
  <c r="BA21" i="48"/>
  <c r="AZ21" i="48"/>
  <c r="AY21" i="48"/>
  <c r="AX21" i="48" s="1"/>
  <c r="AP21" i="48"/>
  <c r="AO21" i="48"/>
  <c r="AN21" i="48"/>
  <c r="AM21" i="48" s="1"/>
  <c r="AF21" i="48"/>
  <c r="AE21" i="48"/>
  <c r="G21" i="48" s="1"/>
  <c r="E21" i="48" s="1"/>
  <c r="T21" i="48"/>
  <c r="R21" i="48" s="1"/>
  <c r="S21" i="48"/>
  <c r="Q21" i="48"/>
  <c r="L21" i="48"/>
  <c r="J21" i="48" s="1"/>
  <c r="I21" i="48" s="1"/>
  <c r="K21" i="48"/>
  <c r="BA20" i="48"/>
  <c r="AZ20" i="48"/>
  <c r="AY20" i="48"/>
  <c r="AX20" i="48" s="1"/>
  <c r="AP20" i="48"/>
  <c r="AO20" i="48"/>
  <c r="AN20" i="48"/>
  <c r="AM20" i="48" s="1"/>
  <c r="AF20" i="48"/>
  <c r="AE20" i="48"/>
  <c r="T20" i="48"/>
  <c r="H20" i="48" s="1"/>
  <c r="F20" i="48" s="1"/>
  <c r="S20" i="48"/>
  <c r="L20" i="48"/>
  <c r="K20" i="48"/>
  <c r="J20" i="48" s="1"/>
  <c r="I20" i="48" s="1"/>
  <c r="BA19" i="48"/>
  <c r="AY19" i="48" s="1"/>
  <c r="AX19" i="48" s="1"/>
  <c r="AZ19" i="48"/>
  <c r="AP19" i="48"/>
  <c r="AN19" i="48" s="1"/>
  <c r="AO19" i="48"/>
  <c r="AM19" i="48"/>
  <c r="AF19" i="48"/>
  <c r="AE19" i="48"/>
  <c r="T19" i="48"/>
  <c r="S19" i="48"/>
  <c r="R19" i="48" s="1"/>
  <c r="Q19" i="48" s="1"/>
  <c r="L19" i="48"/>
  <c r="K19" i="48"/>
  <c r="G19" i="48" s="1"/>
  <c r="E19" i="48" s="1"/>
  <c r="J19" i="48"/>
  <c r="I19" i="48" s="1"/>
  <c r="BA18" i="48"/>
  <c r="AZ18" i="48"/>
  <c r="AY18" i="48" s="1"/>
  <c r="AX18" i="48" s="1"/>
  <c r="AP18" i="48"/>
  <c r="AO18" i="48"/>
  <c r="AN18" i="48" s="1"/>
  <c r="AM18" i="48" s="1"/>
  <c r="AF18" i="48"/>
  <c r="H18" i="48" s="1"/>
  <c r="F18" i="48" s="1"/>
  <c r="AE18" i="48"/>
  <c r="T18" i="48"/>
  <c r="S18" i="48"/>
  <c r="R18" i="48"/>
  <c r="Q18" i="48"/>
  <c r="L18" i="48"/>
  <c r="K18" i="48"/>
  <c r="J18" i="48"/>
  <c r="I18" i="48"/>
  <c r="BA17" i="48"/>
  <c r="AZ17" i="48"/>
  <c r="AY17" i="48" s="1"/>
  <c r="AX17" i="48" s="1"/>
  <c r="AP17" i="48"/>
  <c r="AO17" i="48"/>
  <c r="AN17" i="48"/>
  <c r="AM17" i="48" s="1"/>
  <c r="AF17" i="48"/>
  <c r="AE17" i="48"/>
  <c r="T17" i="48"/>
  <c r="R17" i="48" s="1"/>
  <c r="Q17" i="48" s="1"/>
  <c r="S17" i="48"/>
  <c r="L17" i="48"/>
  <c r="J17" i="48" s="1"/>
  <c r="K17" i="48"/>
  <c r="I17" i="48"/>
  <c r="BA16" i="48"/>
  <c r="AZ16" i="48"/>
  <c r="AY16" i="48"/>
  <c r="AX16" i="48"/>
  <c r="AP16" i="48"/>
  <c r="AO16" i="48"/>
  <c r="AN16" i="48"/>
  <c r="AM16" i="48"/>
  <c r="AF16" i="48"/>
  <c r="AE16" i="48"/>
  <c r="T16" i="48"/>
  <c r="S16" i="48"/>
  <c r="R16" i="48" s="1"/>
  <c r="Q16" i="48" s="1"/>
  <c r="L16" i="48"/>
  <c r="H16" i="48" s="1"/>
  <c r="F16" i="48" s="1"/>
  <c r="K16" i="48"/>
  <c r="BA15" i="48"/>
  <c r="AY15" i="48" s="1"/>
  <c r="AZ15" i="48"/>
  <c r="AX15" i="48"/>
  <c r="AP15" i="48"/>
  <c r="AN15" i="48" s="1"/>
  <c r="AM15" i="48" s="1"/>
  <c r="AO15" i="48"/>
  <c r="AF15" i="48"/>
  <c r="AE15" i="48"/>
  <c r="T15" i="48"/>
  <c r="S15" i="48"/>
  <c r="R15" i="48"/>
  <c r="Q15" i="48" s="1"/>
  <c r="L15" i="48"/>
  <c r="K15" i="48"/>
  <c r="J15" i="48"/>
  <c r="I15" i="48" s="1"/>
  <c r="G15" i="48"/>
  <c r="E15" i="48" s="1"/>
  <c r="BA14" i="48"/>
  <c r="AZ14" i="48"/>
  <c r="AY14" i="48" s="1"/>
  <c r="AX14" i="48" s="1"/>
  <c r="AP14" i="48"/>
  <c r="AO14" i="48"/>
  <c r="AN14" i="48" s="1"/>
  <c r="AM14" i="48" s="1"/>
  <c r="AF14" i="48"/>
  <c r="AE14" i="48"/>
  <c r="T14" i="48"/>
  <c r="S14" i="48"/>
  <c r="R14" i="48"/>
  <c r="Q14" i="48"/>
  <c r="L14" i="48"/>
  <c r="K14" i="48"/>
  <c r="J14" i="48"/>
  <c r="I14" i="48"/>
  <c r="BA13" i="48"/>
  <c r="AZ13" i="48"/>
  <c r="AY13" i="48"/>
  <c r="AX13" i="48" s="1"/>
  <c r="AP13" i="48"/>
  <c r="AN13" i="48" s="1"/>
  <c r="AM13" i="48" s="1"/>
  <c r="AO13" i="48"/>
  <c r="AF13" i="48"/>
  <c r="H13" i="48" s="1"/>
  <c r="F13" i="48" s="1"/>
  <c r="AE13" i="48"/>
  <c r="G13" i="48" s="1"/>
  <c r="E13" i="48" s="1"/>
  <c r="D13" i="48" s="1"/>
  <c r="T13" i="48"/>
  <c r="S13" i="48"/>
  <c r="R13" i="48"/>
  <c r="Q13" i="48"/>
  <c r="L13" i="48"/>
  <c r="K13" i="48"/>
  <c r="J13" i="48"/>
  <c r="I13" i="48"/>
  <c r="BA12" i="48"/>
  <c r="AZ12" i="48"/>
  <c r="AY12" i="48"/>
  <c r="AX12" i="48"/>
  <c r="AP12" i="48"/>
  <c r="AO12" i="48"/>
  <c r="AN12" i="48"/>
  <c r="AM12" i="48"/>
  <c r="AF12" i="48"/>
  <c r="AE12" i="48"/>
  <c r="AE25" i="48" s="1"/>
  <c r="T12" i="48"/>
  <c r="S12" i="48"/>
  <c r="R12" i="48" s="1"/>
  <c r="Q12" i="48" s="1"/>
  <c r="L12" i="48"/>
  <c r="H12" i="48" s="1"/>
  <c r="F12" i="48" s="1"/>
  <c r="K12" i="48"/>
  <c r="J12" i="48" s="1"/>
  <c r="I12" i="48"/>
  <c r="K177" i="47"/>
  <c r="K176" i="47"/>
  <c r="K175" i="47"/>
  <c r="K174" i="47"/>
  <c r="K173" i="47"/>
  <c r="K172" i="47"/>
  <c r="K171" i="47"/>
  <c r="K170" i="47"/>
  <c r="K169" i="47"/>
  <c r="K168" i="47"/>
  <c r="K167" i="47"/>
  <c r="K160" i="47"/>
  <c r="K159" i="47"/>
  <c r="K158" i="47"/>
  <c r="K157" i="47"/>
  <c r="K156" i="47"/>
  <c r="K155" i="47"/>
  <c r="K154" i="47"/>
  <c r="K153" i="47"/>
  <c r="K152" i="47"/>
  <c r="K149" i="47"/>
  <c r="K148" i="47"/>
  <c r="K147" i="47"/>
  <c r="K144" i="47"/>
  <c r="K143" i="47"/>
  <c r="K142" i="47"/>
  <c r="K141" i="47"/>
  <c r="K140" i="47"/>
  <c r="K139" i="47"/>
  <c r="K138" i="47"/>
  <c r="K137" i="47"/>
  <c r="K136" i="47"/>
  <c r="K135" i="47"/>
  <c r="K134" i="47"/>
  <c r="K131" i="47"/>
  <c r="K130" i="47"/>
  <c r="K129" i="47"/>
  <c r="K128" i="47"/>
  <c r="K127" i="47"/>
  <c r="K126" i="47"/>
  <c r="K125" i="47"/>
  <c r="K124" i="47"/>
  <c r="K123" i="47"/>
  <c r="K122" i="47"/>
  <c r="K121" i="47"/>
  <c r="K120" i="47"/>
  <c r="K119" i="47"/>
  <c r="K118" i="47"/>
  <c r="K117" i="47"/>
  <c r="K116" i="47"/>
  <c r="K115" i="47"/>
  <c r="K114" i="47"/>
  <c r="K111" i="47"/>
  <c r="K110" i="47"/>
  <c r="K109" i="47"/>
  <c r="K108" i="47"/>
  <c r="K107" i="47"/>
  <c r="K106" i="47"/>
  <c r="K105" i="47"/>
  <c r="K104" i="47"/>
  <c r="K103" i="47"/>
  <c r="K102" i="47"/>
  <c r="K101" i="47"/>
  <c r="K100" i="47"/>
  <c r="K99" i="47"/>
  <c r="K96" i="47"/>
  <c r="K95" i="47"/>
  <c r="K94" i="47"/>
  <c r="K93" i="47"/>
  <c r="K92" i="47"/>
  <c r="K91" i="47"/>
  <c r="K90" i="47"/>
  <c r="K89" i="47"/>
  <c r="K88" i="47"/>
  <c r="K87" i="47"/>
  <c r="K86" i="47"/>
  <c r="K85" i="47"/>
  <c r="K84" i="47"/>
  <c r="K83" i="47"/>
  <c r="K80" i="47"/>
  <c r="K79" i="47"/>
  <c r="K78" i="47"/>
  <c r="K77" i="47"/>
  <c r="K76" i="47"/>
  <c r="K75" i="47"/>
  <c r="K74" i="47"/>
  <c r="K73" i="47"/>
  <c r="K72" i="47"/>
  <c r="K71" i="47"/>
  <c r="K70" i="47"/>
  <c r="K69" i="47"/>
  <c r="K68" i="47"/>
  <c r="K67" i="47"/>
  <c r="K66" i="47"/>
  <c r="K65" i="47"/>
  <c r="K64" i="47"/>
  <c r="K63" i="47"/>
  <c r="K62" i="47"/>
  <c r="K61" i="47"/>
  <c r="K60" i="47"/>
  <c r="K59" i="47"/>
  <c r="K56" i="47"/>
  <c r="K55" i="47"/>
  <c r="K54" i="47"/>
  <c r="K53" i="47"/>
  <c r="K52" i="47"/>
  <c r="K51" i="47"/>
  <c r="K50" i="47"/>
  <c r="K49" i="47"/>
  <c r="K48" i="47"/>
  <c r="K47" i="47"/>
  <c r="K46" i="47"/>
  <c r="K45" i="47"/>
  <c r="K44" i="47"/>
  <c r="K43" i="47"/>
  <c r="K40" i="47"/>
  <c r="K39" i="47"/>
  <c r="K38" i="47"/>
  <c r="K37" i="47"/>
  <c r="K36" i="47"/>
  <c r="K35" i="47"/>
  <c r="K34" i="47"/>
  <c r="K33" i="47"/>
  <c r="K32" i="47"/>
  <c r="K31" i="47"/>
  <c r="K30" i="47"/>
  <c r="K29" i="47"/>
  <c r="K28" i="47"/>
  <c r="K27" i="47"/>
  <c r="K26" i="47"/>
  <c r="K23" i="47"/>
  <c r="K22" i="47"/>
  <c r="K21" i="47"/>
  <c r="K20" i="47"/>
  <c r="K19" i="47"/>
  <c r="K18" i="47"/>
  <c r="K17" i="47"/>
  <c r="K16" i="47"/>
  <c r="K15" i="47"/>
  <c r="K14" i="47"/>
  <c r="K13" i="47"/>
  <c r="K12" i="47"/>
  <c r="D35" i="48" l="1"/>
  <c r="D71" i="48"/>
  <c r="D49" i="48"/>
  <c r="H15" i="48"/>
  <c r="F15" i="48" s="1"/>
  <c r="G28" i="48"/>
  <c r="E28" i="48" s="1"/>
  <c r="D28" i="48" s="1"/>
  <c r="H29" i="48"/>
  <c r="F29" i="48" s="1"/>
  <c r="G36" i="48"/>
  <c r="E36" i="48" s="1"/>
  <c r="D55" i="48"/>
  <c r="D72" i="48"/>
  <c r="D15" i="48"/>
  <c r="G16" i="48"/>
  <c r="E16" i="48" s="1"/>
  <c r="D16" i="48" s="1"/>
  <c r="D23" i="48"/>
  <c r="H27" i="48"/>
  <c r="F27" i="48" s="1"/>
  <c r="D27" i="48" s="1"/>
  <c r="D37" i="48"/>
  <c r="H51" i="48"/>
  <c r="F51" i="48" s="1"/>
  <c r="D51" i="48" s="1"/>
  <c r="G17" i="48"/>
  <c r="E17" i="48" s="1"/>
  <c r="G18" i="48"/>
  <c r="E18" i="48" s="1"/>
  <c r="D18" i="48" s="1"/>
  <c r="AQ183" i="48"/>
  <c r="AU183" i="48"/>
  <c r="G31" i="48"/>
  <c r="E31" i="48" s="1"/>
  <c r="G32" i="48"/>
  <c r="E32" i="48" s="1"/>
  <c r="D32" i="48" s="1"/>
  <c r="H47" i="48"/>
  <c r="F47" i="48" s="1"/>
  <c r="D47" i="48" s="1"/>
  <c r="G50" i="48"/>
  <c r="E50" i="48" s="1"/>
  <c r="D50" i="48" s="1"/>
  <c r="G52" i="48"/>
  <c r="E52" i="48" s="1"/>
  <c r="D52" i="48" s="1"/>
  <c r="H14" i="48"/>
  <c r="F14" i="48" s="1"/>
  <c r="J16" i="48"/>
  <c r="I16" i="48" s="1"/>
  <c r="H17" i="48"/>
  <c r="F17" i="48" s="1"/>
  <c r="G20" i="48"/>
  <c r="E20" i="48" s="1"/>
  <c r="D20" i="48" s="1"/>
  <c r="R20" i="48"/>
  <c r="Q20" i="48" s="1"/>
  <c r="H22" i="48"/>
  <c r="F22" i="48" s="1"/>
  <c r="P182" i="48"/>
  <c r="X182" i="48"/>
  <c r="AB182" i="48"/>
  <c r="AI182" i="48"/>
  <c r="AQ182" i="48"/>
  <c r="AU182" i="48"/>
  <c r="BC182" i="48"/>
  <c r="M183" i="48"/>
  <c r="U183" i="48"/>
  <c r="Y183" i="48"/>
  <c r="G26" i="48"/>
  <c r="E26" i="48" s="1"/>
  <c r="D26" i="48" s="1"/>
  <c r="R26" i="48"/>
  <c r="Q26" i="48" s="1"/>
  <c r="H28" i="48"/>
  <c r="F28" i="48" s="1"/>
  <c r="J30" i="48"/>
  <c r="I30" i="48" s="1"/>
  <c r="H31" i="48"/>
  <c r="F31" i="48" s="1"/>
  <c r="G34" i="48"/>
  <c r="E34" i="48" s="1"/>
  <c r="D34" i="48" s="1"/>
  <c r="R34" i="48"/>
  <c r="Q34" i="48" s="1"/>
  <c r="H36" i="48"/>
  <c r="F36" i="48" s="1"/>
  <c r="J38" i="48"/>
  <c r="I38" i="48" s="1"/>
  <c r="H39" i="48"/>
  <c r="F39" i="48" s="1"/>
  <c r="G46" i="48"/>
  <c r="E46" i="48" s="1"/>
  <c r="D46" i="48" s="1"/>
  <c r="G48" i="48"/>
  <c r="E48" i="48" s="1"/>
  <c r="D48" i="48" s="1"/>
  <c r="H53" i="48"/>
  <c r="F53" i="48" s="1"/>
  <c r="D53" i="48" s="1"/>
  <c r="H61" i="48"/>
  <c r="F61" i="48" s="1"/>
  <c r="D61" i="48" s="1"/>
  <c r="G64" i="48"/>
  <c r="E64" i="48" s="1"/>
  <c r="D64" i="48" s="1"/>
  <c r="G66" i="48"/>
  <c r="E66" i="48" s="1"/>
  <c r="D66" i="48" s="1"/>
  <c r="H71" i="48"/>
  <c r="F71" i="48" s="1"/>
  <c r="J93" i="48"/>
  <c r="I93" i="48" s="1"/>
  <c r="G93" i="48"/>
  <c r="E93" i="48" s="1"/>
  <c r="D93" i="48" s="1"/>
  <c r="G14" i="48"/>
  <c r="E14" i="48" s="1"/>
  <c r="D14" i="48" s="1"/>
  <c r="G22" i="48"/>
  <c r="E22" i="48" s="1"/>
  <c r="D22" i="48" s="1"/>
  <c r="H37" i="48"/>
  <c r="F37" i="48" s="1"/>
  <c r="G44" i="48"/>
  <c r="E44" i="48" s="1"/>
  <c r="D44" i="48" s="1"/>
  <c r="H49" i="48"/>
  <c r="F49" i="48" s="1"/>
  <c r="H67" i="48"/>
  <c r="F67" i="48" s="1"/>
  <c r="D67" i="48" s="1"/>
  <c r="G77" i="48"/>
  <c r="E77" i="48" s="1"/>
  <c r="D77" i="48" s="1"/>
  <c r="J77" i="48"/>
  <c r="I77" i="48" s="1"/>
  <c r="J143" i="48"/>
  <c r="I143" i="48" s="1"/>
  <c r="H143" i="48"/>
  <c r="F143" i="48" s="1"/>
  <c r="D143" i="48" s="1"/>
  <c r="H19" i="48"/>
  <c r="F19" i="48" s="1"/>
  <c r="D19" i="48" s="1"/>
  <c r="H21" i="48"/>
  <c r="F21" i="48" s="1"/>
  <c r="D21" i="48" s="1"/>
  <c r="D29" i="48"/>
  <c r="H33" i="48"/>
  <c r="F33" i="48" s="1"/>
  <c r="D33" i="48" s="1"/>
  <c r="H35" i="48"/>
  <c r="F35" i="48" s="1"/>
  <c r="G54" i="48"/>
  <c r="E54" i="48" s="1"/>
  <c r="D54" i="48" s="1"/>
  <c r="D69" i="48"/>
  <c r="J78" i="48"/>
  <c r="I78" i="48" s="1"/>
  <c r="G78" i="48"/>
  <c r="E78" i="48" s="1"/>
  <c r="G80" i="48"/>
  <c r="E80" i="48" s="1"/>
  <c r="J80" i="48"/>
  <c r="I80" i="48" s="1"/>
  <c r="G86" i="48"/>
  <c r="E86" i="48" s="1"/>
  <c r="D86" i="48" s="1"/>
  <c r="AN101" i="48"/>
  <c r="AM101" i="48" s="1"/>
  <c r="G101" i="48"/>
  <c r="E101" i="48" s="1"/>
  <c r="J105" i="48"/>
  <c r="I105" i="48" s="1"/>
  <c r="G105" i="48"/>
  <c r="E105" i="48" s="1"/>
  <c r="AE24" i="48"/>
  <c r="G62" i="48"/>
  <c r="E62" i="48" s="1"/>
  <c r="D62" i="48" s="1"/>
  <c r="G84" i="48"/>
  <c r="E84" i="48" s="1"/>
  <c r="D84" i="48" s="1"/>
  <c r="AF25" i="48"/>
  <c r="AF24" i="48"/>
  <c r="G30" i="48"/>
  <c r="E30" i="48" s="1"/>
  <c r="D30" i="48" s="1"/>
  <c r="G38" i="48"/>
  <c r="E38" i="48" s="1"/>
  <c r="D38" i="48" s="1"/>
  <c r="G12" i="48"/>
  <c r="E12" i="48" s="1"/>
  <c r="D12" i="48" s="1"/>
  <c r="G39" i="48"/>
  <c r="E39" i="48" s="1"/>
  <c r="G40" i="48"/>
  <c r="E40" i="48" s="1"/>
  <c r="D40" i="48" s="1"/>
  <c r="H43" i="48"/>
  <c r="F43" i="48" s="1"/>
  <c r="D43" i="48" s="1"/>
  <c r="H59" i="48"/>
  <c r="F59" i="48" s="1"/>
  <c r="D59" i="48" s="1"/>
  <c r="H65" i="48"/>
  <c r="F65" i="48" s="1"/>
  <c r="D65" i="48" s="1"/>
  <c r="G68" i="48"/>
  <c r="E68" i="48" s="1"/>
  <c r="D68" i="48" s="1"/>
  <c r="G70" i="48"/>
  <c r="E70" i="48" s="1"/>
  <c r="D70" i="48" s="1"/>
  <c r="H72" i="48"/>
  <c r="F72" i="48" s="1"/>
  <c r="G73" i="48"/>
  <c r="E73" i="48" s="1"/>
  <c r="D73" i="48" s="1"/>
  <c r="H75" i="48"/>
  <c r="F75" i="48" s="1"/>
  <c r="D75" i="48" s="1"/>
  <c r="H78" i="48"/>
  <c r="F78" i="48" s="1"/>
  <c r="J83" i="48"/>
  <c r="I83" i="48" s="1"/>
  <c r="H83" i="48"/>
  <c r="F83" i="48" s="1"/>
  <c r="D83" i="48" s="1"/>
  <c r="D109" i="48"/>
  <c r="J118" i="48"/>
  <c r="I118" i="48" s="1"/>
  <c r="H118" i="48"/>
  <c r="F118" i="48" s="1"/>
  <c r="D118" i="48" s="1"/>
  <c r="AR182" i="48"/>
  <c r="AV182" i="48"/>
  <c r="N183" i="48"/>
  <c r="V183" i="48"/>
  <c r="O182" i="48"/>
  <c r="W182" i="48"/>
  <c r="AA182" i="48"/>
  <c r="AG182" i="48"/>
  <c r="AK182" i="48"/>
  <c r="AS182" i="48"/>
  <c r="AW182" i="48"/>
  <c r="BE182" i="48"/>
  <c r="O183" i="48"/>
  <c r="W183" i="48"/>
  <c r="AA183" i="48"/>
  <c r="AG183" i="48"/>
  <c r="AK183" i="48"/>
  <c r="AS183" i="48"/>
  <c r="AW183" i="48"/>
  <c r="BE183" i="48"/>
  <c r="AN72" i="48"/>
  <c r="AM72" i="48" s="1"/>
  <c r="R78" i="48"/>
  <c r="Q78" i="48" s="1"/>
  <c r="G79" i="48"/>
  <c r="E79" i="48" s="1"/>
  <c r="D79" i="48" s="1"/>
  <c r="H80" i="48"/>
  <c r="F80" i="48" s="1"/>
  <c r="J84" i="48"/>
  <c r="I84" i="48" s="1"/>
  <c r="J87" i="48"/>
  <c r="I87" i="48" s="1"/>
  <c r="G87" i="48"/>
  <c r="E87" i="48" s="1"/>
  <c r="J94" i="48"/>
  <c r="I94" i="48" s="1"/>
  <c r="G100" i="48"/>
  <c r="E100" i="48" s="1"/>
  <c r="D100" i="48" s="1"/>
  <c r="H101" i="48"/>
  <c r="F101" i="48" s="1"/>
  <c r="J102" i="48"/>
  <c r="I102" i="48" s="1"/>
  <c r="G102" i="48"/>
  <c r="E102" i="48" s="1"/>
  <c r="D102" i="48" s="1"/>
  <c r="AN106" i="48"/>
  <c r="AM106" i="48" s="1"/>
  <c r="H106" i="48"/>
  <c r="F106" i="48" s="1"/>
  <c r="D106" i="48" s="1"/>
  <c r="J108" i="48"/>
  <c r="I108" i="48" s="1"/>
  <c r="H108" i="48"/>
  <c r="F108" i="48" s="1"/>
  <c r="G108" i="48"/>
  <c r="E108" i="48" s="1"/>
  <c r="D131" i="48"/>
  <c r="G92" i="48"/>
  <c r="E92" i="48" s="1"/>
  <c r="D92" i="48" s="1"/>
  <c r="J92" i="48"/>
  <c r="I92" i="48" s="1"/>
  <c r="R110" i="48"/>
  <c r="Q110" i="48" s="1"/>
  <c r="G110" i="48"/>
  <c r="E110" i="48" s="1"/>
  <c r="D110" i="48" s="1"/>
  <c r="R124" i="48"/>
  <c r="Q124" i="48" s="1"/>
  <c r="G124" i="48"/>
  <c r="E124" i="48" s="1"/>
  <c r="AJ182" i="48"/>
  <c r="BD182" i="48"/>
  <c r="Z183" i="48"/>
  <c r="AJ183" i="48"/>
  <c r="AV183" i="48"/>
  <c r="G74" i="48"/>
  <c r="E74" i="48" s="1"/>
  <c r="D74" i="48" s="1"/>
  <c r="G85" i="48"/>
  <c r="E85" i="48" s="1"/>
  <c r="D85" i="48" s="1"/>
  <c r="H86" i="48"/>
  <c r="F86" i="48" s="1"/>
  <c r="H90" i="48"/>
  <c r="F90" i="48" s="1"/>
  <c r="D90" i="48" s="1"/>
  <c r="G95" i="48"/>
  <c r="E95" i="48" s="1"/>
  <c r="J95" i="48"/>
  <c r="I95" i="48" s="1"/>
  <c r="J103" i="48"/>
  <c r="I103" i="48" s="1"/>
  <c r="G103" i="48"/>
  <c r="E103" i="48" s="1"/>
  <c r="D103" i="48" s="1"/>
  <c r="J126" i="48"/>
  <c r="I126" i="48" s="1"/>
  <c r="H126" i="48"/>
  <c r="F126" i="48" s="1"/>
  <c r="D126" i="48" s="1"/>
  <c r="AN87" i="48"/>
  <c r="AM87" i="48" s="1"/>
  <c r="R93" i="48"/>
  <c r="Q93" i="48" s="1"/>
  <c r="G94" i="48"/>
  <c r="E94" i="48" s="1"/>
  <c r="D94" i="48" s="1"/>
  <c r="H95" i="48"/>
  <c r="F95" i="48" s="1"/>
  <c r="J99" i="48"/>
  <c r="I99" i="48" s="1"/>
  <c r="AY101" i="48"/>
  <c r="AX101" i="48" s="1"/>
  <c r="AN105" i="48"/>
  <c r="AM105" i="48" s="1"/>
  <c r="R107" i="48"/>
  <c r="Q107" i="48" s="1"/>
  <c r="H109" i="48"/>
  <c r="F109" i="48" s="1"/>
  <c r="J111" i="48"/>
  <c r="I111" i="48" s="1"/>
  <c r="H114" i="48"/>
  <c r="F114" i="48" s="1"/>
  <c r="H116" i="48"/>
  <c r="F116" i="48" s="1"/>
  <c r="D116" i="48" s="1"/>
  <c r="R117" i="48"/>
  <c r="Q117" i="48" s="1"/>
  <c r="H119" i="48"/>
  <c r="F119" i="48" s="1"/>
  <c r="J121" i="48"/>
  <c r="I121" i="48" s="1"/>
  <c r="H122" i="48"/>
  <c r="F122" i="48" s="1"/>
  <c r="H124" i="48"/>
  <c r="F124" i="48" s="1"/>
  <c r="R125" i="48"/>
  <c r="Q125" i="48" s="1"/>
  <c r="H127" i="48"/>
  <c r="F127" i="48" s="1"/>
  <c r="J129" i="48"/>
  <c r="I129" i="48" s="1"/>
  <c r="H130" i="48"/>
  <c r="F130" i="48" s="1"/>
  <c r="D135" i="48"/>
  <c r="D140" i="48"/>
  <c r="H87" i="48"/>
  <c r="F87" i="48" s="1"/>
  <c r="J89" i="48"/>
  <c r="I89" i="48" s="1"/>
  <c r="AY91" i="48"/>
  <c r="AX91" i="48" s="1"/>
  <c r="AN95" i="48"/>
  <c r="AM95" i="48" s="1"/>
  <c r="R103" i="48"/>
  <c r="Q103" i="48" s="1"/>
  <c r="G104" i="48"/>
  <c r="E104" i="48" s="1"/>
  <c r="D104" i="48" s="1"/>
  <c r="H105" i="48"/>
  <c r="F105" i="48" s="1"/>
  <c r="J107" i="48"/>
  <c r="I107" i="48" s="1"/>
  <c r="H110" i="48"/>
  <c r="F110" i="48" s="1"/>
  <c r="R111" i="48"/>
  <c r="Q111" i="48" s="1"/>
  <c r="J117" i="48"/>
  <c r="I117" i="48" s="1"/>
  <c r="G120" i="48"/>
  <c r="E120" i="48" s="1"/>
  <c r="H120" i="48"/>
  <c r="F120" i="48" s="1"/>
  <c r="R121" i="48"/>
  <c r="Q121" i="48" s="1"/>
  <c r="J125" i="48"/>
  <c r="I125" i="48" s="1"/>
  <c r="G128" i="48"/>
  <c r="E128" i="48" s="1"/>
  <c r="H128" i="48"/>
  <c r="F128" i="48" s="1"/>
  <c r="R129" i="48"/>
  <c r="Q129" i="48" s="1"/>
  <c r="J135" i="48"/>
  <c r="I135" i="48" s="1"/>
  <c r="H135" i="48"/>
  <c r="F135" i="48" s="1"/>
  <c r="AN153" i="48"/>
  <c r="AM153" i="48" s="1"/>
  <c r="H153" i="48"/>
  <c r="F153" i="48" s="1"/>
  <c r="G114" i="48"/>
  <c r="E114" i="48" s="1"/>
  <c r="D114" i="48" s="1"/>
  <c r="G119" i="48"/>
  <c r="E119" i="48" s="1"/>
  <c r="G122" i="48"/>
  <c r="E122" i="48" s="1"/>
  <c r="D122" i="48" s="1"/>
  <c r="G127" i="48"/>
  <c r="E127" i="48" s="1"/>
  <c r="D127" i="48" s="1"/>
  <c r="G130" i="48"/>
  <c r="E130" i="48" s="1"/>
  <c r="D130" i="48" s="1"/>
  <c r="G141" i="48"/>
  <c r="E141" i="48" s="1"/>
  <c r="G134" i="48"/>
  <c r="E134" i="48" s="1"/>
  <c r="D134" i="48" s="1"/>
  <c r="R134" i="48"/>
  <c r="Q134" i="48" s="1"/>
  <c r="H136" i="48"/>
  <c r="F136" i="48" s="1"/>
  <c r="J138" i="48"/>
  <c r="I138" i="48" s="1"/>
  <c r="H139" i="48"/>
  <c r="F139" i="48" s="1"/>
  <c r="H141" i="48"/>
  <c r="F141" i="48" s="1"/>
  <c r="G142" i="48"/>
  <c r="E142" i="48" s="1"/>
  <c r="D142" i="48" s="1"/>
  <c r="R142" i="48"/>
  <c r="Q142" i="48" s="1"/>
  <c r="D147" i="48"/>
  <c r="G152" i="48"/>
  <c r="E152" i="48" s="1"/>
  <c r="D152" i="48" s="1"/>
  <c r="D153" i="48"/>
  <c r="H155" i="48"/>
  <c r="F155" i="48" s="1"/>
  <c r="AN159" i="48"/>
  <c r="AM159" i="48" s="1"/>
  <c r="D172" i="48"/>
  <c r="J173" i="48"/>
  <c r="I173" i="48" s="1"/>
  <c r="G173" i="48"/>
  <c r="E173" i="48" s="1"/>
  <c r="D173" i="48" s="1"/>
  <c r="D137" i="48"/>
  <c r="H137" i="48"/>
  <c r="F137" i="48" s="1"/>
  <c r="G136" i="48"/>
  <c r="E136" i="48" s="1"/>
  <c r="D136" i="48" s="1"/>
  <c r="G139" i="48"/>
  <c r="E139" i="48" s="1"/>
  <c r="D156" i="48"/>
  <c r="G157" i="48"/>
  <c r="E157" i="48" s="1"/>
  <c r="D157" i="48" s="1"/>
  <c r="H159" i="48"/>
  <c r="F159" i="48" s="1"/>
  <c r="D159" i="48" s="1"/>
  <c r="D171" i="48"/>
  <c r="J148" i="48"/>
  <c r="I148" i="48" s="1"/>
  <c r="AY152" i="48"/>
  <c r="AX152" i="48" s="1"/>
  <c r="G154" i="48"/>
  <c r="E154" i="48" s="1"/>
  <c r="D154" i="48" s="1"/>
  <c r="AN156" i="48"/>
  <c r="AM156" i="48" s="1"/>
  <c r="H160" i="48"/>
  <c r="F160" i="48" s="1"/>
  <c r="AN172" i="48"/>
  <c r="AM172" i="48" s="1"/>
  <c r="G155" i="48"/>
  <c r="E155" i="48" s="1"/>
  <c r="D155" i="48" s="1"/>
  <c r="H156" i="48"/>
  <c r="F156" i="48" s="1"/>
  <c r="D170" i="48"/>
  <c r="R148" i="48"/>
  <c r="Q148" i="48" s="1"/>
  <c r="G149" i="48"/>
  <c r="E149" i="48" s="1"/>
  <c r="D149" i="48" s="1"/>
  <c r="H152" i="48"/>
  <c r="F152" i="48" s="1"/>
  <c r="J154" i="48"/>
  <c r="I154" i="48" s="1"/>
  <c r="AY156" i="48"/>
  <c r="AX156" i="48" s="1"/>
  <c r="G158" i="48"/>
  <c r="E158" i="48" s="1"/>
  <c r="D158" i="48" s="1"/>
  <c r="G160" i="48"/>
  <c r="E160" i="48" s="1"/>
  <c r="AY160" i="48"/>
  <c r="AX160" i="48" s="1"/>
  <c r="AN168" i="48"/>
  <c r="AM168" i="48" s="1"/>
  <c r="G169" i="48"/>
  <c r="E169" i="48" s="1"/>
  <c r="D169" i="48" s="1"/>
  <c r="D174" i="48"/>
  <c r="J176" i="48"/>
  <c r="I176" i="48" s="1"/>
  <c r="AY176" i="48"/>
  <c r="AX176" i="48" s="1"/>
  <c r="AF182" i="46"/>
  <c r="AE182" i="46"/>
  <c r="AD182" i="46"/>
  <c r="AB182" i="46"/>
  <c r="AA182" i="46"/>
  <c r="Z182" i="46"/>
  <c r="Y182" i="46"/>
  <c r="W182" i="46"/>
  <c r="V182" i="46"/>
  <c r="U182" i="46"/>
  <c r="T182" i="46"/>
  <c r="S182" i="46"/>
  <c r="R182" i="46"/>
  <c r="Q182" i="46"/>
  <c r="O182" i="46"/>
  <c r="N182" i="46"/>
  <c r="M182" i="46"/>
  <c r="L182" i="46"/>
  <c r="K182" i="46"/>
  <c r="J182" i="46"/>
  <c r="I182" i="46"/>
  <c r="H182" i="46"/>
  <c r="G182" i="46"/>
  <c r="AF181" i="46"/>
  <c r="AE181" i="46"/>
  <c r="AD181" i="46"/>
  <c r="AB181" i="46"/>
  <c r="AA181" i="46"/>
  <c r="Z181" i="46"/>
  <c r="Y181" i="46"/>
  <c r="W181" i="46"/>
  <c r="V181" i="46"/>
  <c r="U181" i="46"/>
  <c r="T181" i="46"/>
  <c r="S181" i="46"/>
  <c r="R181" i="46"/>
  <c r="Q181" i="46"/>
  <c r="O181" i="46"/>
  <c r="N181" i="46"/>
  <c r="M181" i="46"/>
  <c r="L181" i="46"/>
  <c r="K181" i="46"/>
  <c r="J181" i="46"/>
  <c r="I181" i="46"/>
  <c r="H181" i="46"/>
  <c r="G181" i="46"/>
  <c r="AC180" i="46"/>
  <c r="X180" i="46"/>
  <c r="P180" i="46"/>
  <c r="E180" i="46" s="1"/>
  <c r="F180" i="46"/>
  <c r="AC179" i="46"/>
  <c r="X179" i="46"/>
  <c r="P179" i="46"/>
  <c r="F179" i="46"/>
  <c r="AC178" i="46"/>
  <c r="X178" i="46"/>
  <c r="P178" i="46"/>
  <c r="E178" i="46" s="1"/>
  <c r="F178" i="46"/>
  <c r="AC177" i="46"/>
  <c r="X177" i="46"/>
  <c r="P177" i="46"/>
  <c r="F177" i="46"/>
  <c r="AC176" i="46"/>
  <c r="X176" i="46"/>
  <c r="P176" i="46"/>
  <c r="F176" i="46"/>
  <c r="E176" i="46"/>
  <c r="AC175" i="46"/>
  <c r="X175" i="46"/>
  <c r="P175" i="46"/>
  <c r="F175" i="46"/>
  <c r="E175" i="46" s="1"/>
  <c r="AC174" i="46"/>
  <c r="X174" i="46"/>
  <c r="P174" i="46"/>
  <c r="F174" i="46"/>
  <c r="E174" i="46"/>
  <c r="AC173" i="46"/>
  <c r="X173" i="46"/>
  <c r="P173" i="46"/>
  <c r="F173" i="46"/>
  <c r="E173" i="46" s="1"/>
  <c r="AC172" i="46"/>
  <c r="X172" i="46"/>
  <c r="P172" i="46"/>
  <c r="E172" i="46" s="1"/>
  <c r="F172" i="46"/>
  <c r="AC171" i="46"/>
  <c r="X171" i="46"/>
  <c r="P171" i="46"/>
  <c r="F171" i="46"/>
  <c r="AC170" i="46"/>
  <c r="X170" i="46"/>
  <c r="P170" i="46"/>
  <c r="E170" i="46" s="1"/>
  <c r="F170" i="46"/>
  <c r="AF162" i="46"/>
  <c r="AE162" i="46"/>
  <c r="AD162" i="46"/>
  <c r="AB162" i="46"/>
  <c r="AA162" i="46"/>
  <c r="Z162" i="46"/>
  <c r="Y162" i="46"/>
  <c r="W162" i="46"/>
  <c r="V162" i="46"/>
  <c r="U162" i="46"/>
  <c r="T162" i="46"/>
  <c r="S162" i="46"/>
  <c r="R162" i="46"/>
  <c r="Q162" i="46"/>
  <c r="O162" i="46"/>
  <c r="N162" i="46"/>
  <c r="M162" i="46"/>
  <c r="L162" i="46"/>
  <c r="K162" i="46"/>
  <c r="J162" i="46"/>
  <c r="I162" i="46"/>
  <c r="H162" i="46"/>
  <c r="G162" i="46"/>
  <c r="AF161" i="46"/>
  <c r="AE161" i="46"/>
  <c r="AD161" i="46"/>
  <c r="AB161" i="46"/>
  <c r="AA161" i="46"/>
  <c r="Z161" i="46"/>
  <c r="Y161" i="46"/>
  <c r="W161" i="46"/>
  <c r="V161" i="46"/>
  <c r="U161" i="46"/>
  <c r="T161" i="46"/>
  <c r="S161" i="46"/>
  <c r="R161" i="46"/>
  <c r="Q161" i="46"/>
  <c r="O161" i="46"/>
  <c r="N161" i="46"/>
  <c r="M161" i="46"/>
  <c r="L161" i="46"/>
  <c r="K161" i="46"/>
  <c r="J161" i="46"/>
  <c r="I161" i="46"/>
  <c r="H161" i="46"/>
  <c r="G161" i="46"/>
  <c r="AC160" i="46"/>
  <c r="X160" i="46"/>
  <c r="P160" i="46"/>
  <c r="F160" i="46"/>
  <c r="E160" i="46" s="1"/>
  <c r="AC159" i="46"/>
  <c r="X159" i="46"/>
  <c r="P159" i="46"/>
  <c r="E159" i="46" s="1"/>
  <c r="F159" i="46"/>
  <c r="AC158" i="46"/>
  <c r="X158" i="46"/>
  <c r="P158" i="46"/>
  <c r="F158" i="46"/>
  <c r="AC157" i="46"/>
  <c r="X157" i="46"/>
  <c r="P157" i="46"/>
  <c r="E157" i="46" s="1"/>
  <c r="F157" i="46"/>
  <c r="AC156" i="46"/>
  <c r="X156" i="46"/>
  <c r="P156" i="46"/>
  <c r="F156" i="46"/>
  <c r="AC155" i="46"/>
  <c r="X155" i="46"/>
  <c r="P155" i="46"/>
  <c r="F155" i="46"/>
  <c r="E155" i="46"/>
  <c r="AC154" i="46"/>
  <c r="X154" i="46"/>
  <c r="P154" i="46"/>
  <c r="F154" i="46"/>
  <c r="E154" i="46" s="1"/>
  <c r="AC153" i="46"/>
  <c r="X153" i="46"/>
  <c r="P153" i="46"/>
  <c r="F153" i="46"/>
  <c r="E153" i="46"/>
  <c r="AC152" i="46"/>
  <c r="X152" i="46"/>
  <c r="P152" i="46"/>
  <c r="F152" i="46"/>
  <c r="E152" i="46" s="1"/>
  <c r="AF151" i="46"/>
  <c r="AE151" i="46"/>
  <c r="AD151" i="46"/>
  <c r="AB151" i="46"/>
  <c r="AA151" i="46"/>
  <c r="Z151" i="46"/>
  <c r="Y151" i="46"/>
  <c r="W151" i="46"/>
  <c r="V151" i="46"/>
  <c r="U151" i="46"/>
  <c r="T151" i="46"/>
  <c r="S151" i="46"/>
  <c r="R151" i="46"/>
  <c r="Q151" i="46"/>
  <c r="O151" i="46"/>
  <c r="N151" i="46"/>
  <c r="M151" i="46"/>
  <c r="L151" i="46"/>
  <c r="K151" i="46"/>
  <c r="J151" i="46"/>
  <c r="I151" i="46"/>
  <c r="H151" i="46"/>
  <c r="G151" i="46"/>
  <c r="AF150" i="46"/>
  <c r="AE150" i="46"/>
  <c r="AD150" i="46"/>
  <c r="AB150" i="46"/>
  <c r="AA150" i="46"/>
  <c r="Z150" i="46"/>
  <c r="Y150" i="46"/>
  <c r="W150" i="46"/>
  <c r="V150" i="46"/>
  <c r="U150" i="46"/>
  <c r="T150" i="46"/>
  <c r="S150" i="46"/>
  <c r="R150" i="46"/>
  <c r="Q150" i="46"/>
  <c r="O150" i="46"/>
  <c r="N150" i="46"/>
  <c r="M150" i="46"/>
  <c r="L150" i="46"/>
  <c r="K150" i="46"/>
  <c r="J150" i="46"/>
  <c r="I150" i="46"/>
  <c r="H150" i="46"/>
  <c r="G150" i="46"/>
  <c r="AC149" i="46"/>
  <c r="X149" i="46"/>
  <c r="P149" i="46"/>
  <c r="F149" i="46"/>
  <c r="E149" i="46"/>
  <c r="AC148" i="46"/>
  <c r="X148" i="46"/>
  <c r="P148" i="46"/>
  <c r="F148" i="46"/>
  <c r="E148" i="46" s="1"/>
  <c r="AC147" i="46"/>
  <c r="X147" i="46"/>
  <c r="P147" i="46"/>
  <c r="F147" i="46"/>
  <c r="E147" i="46"/>
  <c r="AE146" i="46"/>
  <c r="AB146" i="46"/>
  <c r="Z146" i="46"/>
  <c r="W146" i="46"/>
  <c r="U146" i="46"/>
  <c r="S146" i="46"/>
  <c r="Q146" i="46"/>
  <c r="N146" i="46"/>
  <c r="L146" i="46"/>
  <c r="J146" i="46"/>
  <c r="H146" i="46"/>
  <c r="AF145" i="46"/>
  <c r="AF146" i="46" s="1"/>
  <c r="AE145" i="46"/>
  <c r="AD145" i="46"/>
  <c r="AD146" i="46" s="1"/>
  <c r="AB145" i="46"/>
  <c r="AA145" i="46"/>
  <c r="AA146" i="46" s="1"/>
  <c r="Z145" i="46"/>
  <c r="Y145" i="46"/>
  <c r="Y146" i="46" s="1"/>
  <c r="W145" i="46"/>
  <c r="V145" i="46"/>
  <c r="V146" i="46" s="1"/>
  <c r="U145" i="46"/>
  <c r="T145" i="46"/>
  <c r="T146" i="46" s="1"/>
  <c r="S145" i="46"/>
  <c r="R145" i="46"/>
  <c r="R146" i="46" s="1"/>
  <c r="Q145" i="46"/>
  <c r="O145" i="46"/>
  <c r="O146" i="46" s="1"/>
  <c r="N145" i="46"/>
  <c r="M145" i="46"/>
  <c r="M146" i="46" s="1"/>
  <c r="L145" i="46"/>
  <c r="K145" i="46"/>
  <c r="K146" i="46" s="1"/>
  <c r="J145" i="46"/>
  <c r="I145" i="46"/>
  <c r="I146" i="46" s="1"/>
  <c r="H145" i="46"/>
  <c r="G145" i="46"/>
  <c r="G146" i="46" s="1"/>
  <c r="AC144" i="46"/>
  <c r="X144" i="46"/>
  <c r="P144" i="46"/>
  <c r="F144" i="46"/>
  <c r="AC143" i="46"/>
  <c r="X143" i="46"/>
  <c r="P143" i="46"/>
  <c r="F143" i="46"/>
  <c r="E143" i="46"/>
  <c r="AC142" i="46"/>
  <c r="X142" i="46"/>
  <c r="P142" i="46"/>
  <c r="F142" i="46"/>
  <c r="E142" i="46" s="1"/>
  <c r="AC141" i="46"/>
  <c r="X141" i="46"/>
  <c r="P141" i="46"/>
  <c r="F141" i="46"/>
  <c r="E141" i="46"/>
  <c r="AC140" i="46"/>
  <c r="X140" i="46"/>
  <c r="P140" i="46"/>
  <c r="F140" i="46"/>
  <c r="E140" i="46" s="1"/>
  <c r="AC139" i="46"/>
  <c r="X139" i="46"/>
  <c r="P139" i="46"/>
  <c r="E139" i="46" s="1"/>
  <c r="F139" i="46"/>
  <c r="AC138" i="46"/>
  <c r="X138" i="46"/>
  <c r="P138" i="46"/>
  <c r="F138" i="46"/>
  <c r="AC137" i="46"/>
  <c r="X137" i="46"/>
  <c r="P137" i="46"/>
  <c r="E137" i="46" s="1"/>
  <c r="F137" i="46"/>
  <c r="AC136" i="46"/>
  <c r="X136" i="46"/>
  <c r="P136" i="46"/>
  <c r="F136" i="46"/>
  <c r="AC135" i="46"/>
  <c r="X135" i="46"/>
  <c r="P135" i="46"/>
  <c r="F135" i="46"/>
  <c r="E135" i="46"/>
  <c r="AC134" i="46"/>
  <c r="X134" i="46"/>
  <c r="P134" i="46"/>
  <c r="F134" i="46"/>
  <c r="E134" i="46" s="1"/>
  <c r="AF133" i="46"/>
  <c r="AD133" i="46"/>
  <c r="AA133" i="46"/>
  <c r="Y133" i="46"/>
  <c r="V133" i="46"/>
  <c r="T133" i="46"/>
  <c r="R133" i="46"/>
  <c r="O133" i="46"/>
  <c r="M133" i="46"/>
  <c r="K133" i="46"/>
  <c r="I133" i="46"/>
  <c r="G133" i="46"/>
  <c r="AF132" i="46"/>
  <c r="AE132" i="46"/>
  <c r="AE133" i="46" s="1"/>
  <c r="AD132" i="46"/>
  <c r="AB132" i="46"/>
  <c r="AB133" i="46" s="1"/>
  <c r="AA132" i="46"/>
  <c r="Z132" i="46"/>
  <c r="Z133" i="46" s="1"/>
  <c r="Y132" i="46"/>
  <c r="W132" i="46"/>
  <c r="W133" i="46" s="1"/>
  <c r="V132" i="46"/>
  <c r="U132" i="46"/>
  <c r="U133" i="46" s="1"/>
  <c r="T132" i="46"/>
  <c r="S132" i="46"/>
  <c r="S133" i="46" s="1"/>
  <c r="R132" i="46"/>
  <c r="Q132" i="46"/>
  <c r="Q133" i="46" s="1"/>
  <c r="O132" i="46"/>
  <c r="N132" i="46"/>
  <c r="N133" i="46" s="1"/>
  <c r="M132" i="46"/>
  <c r="L132" i="46"/>
  <c r="L133" i="46" s="1"/>
  <c r="K132" i="46"/>
  <c r="J132" i="46"/>
  <c r="J133" i="46" s="1"/>
  <c r="I132" i="46"/>
  <c r="H132" i="46"/>
  <c r="H133" i="46" s="1"/>
  <c r="G132" i="46"/>
  <c r="AC131" i="46"/>
  <c r="X131" i="46"/>
  <c r="P131" i="46"/>
  <c r="F131" i="46"/>
  <c r="E131" i="46"/>
  <c r="AC130" i="46"/>
  <c r="X130" i="46"/>
  <c r="P130" i="46"/>
  <c r="F130" i="46"/>
  <c r="E130" i="46" s="1"/>
  <c r="AC129" i="46"/>
  <c r="X129" i="46"/>
  <c r="P129" i="46"/>
  <c r="F129" i="46"/>
  <c r="E129" i="46"/>
  <c r="AC128" i="46"/>
  <c r="X128" i="46"/>
  <c r="P128" i="46"/>
  <c r="F128" i="46"/>
  <c r="E128" i="46" s="1"/>
  <c r="AC127" i="46"/>
  <c r="X127" i="46"/>
  <c r="P127" i="46"/>
  <c r="E127" i="46" s="1"/>
  <c r="F127" i="46"/>
  <c r="AC126" i="46"/>
  <c r="X126" i="46"/>
  <c r="P126" i="46"/>
  <c r="F126" i="46"/>
  <c r="AC125" i="46"/>
  <c r="X125" i="46"/>
  <c r="P125" i="46"/>
  <c r="E125" i="46" s="1"/>
  <c r="F125" i="46"/>
  <c r="AC124" i="46"/>
  <c r="X124" i="46"/>
  <c r="P124" i="46"/>
  <c r="F124" i="46"/>
  <c r="AC123" i="46"/>
  <c r="X123" i="46"/>
  <c r="P123" i="46"/>
  <c r="F123" i="46"/>
  <c r="E123" i="46"/>
  <c r="AC122" i="46"/>
  <c r="X122" i="46"/>
  <c r="P122" i="46"/>
  <c r="F122" i="46"/>
  <c r="E122" i="46" s="1"/>
  <c r="AC121" i="46"/>
  <c r="X121" i="46"/>
  <c r="P121" i="46"/>
  <c r="F121" i="46"/>
  <c r="E121" i="46"/>
  <c r="AC120" i="46"/>
  <c r="X120" i="46"/>
  <c r="P120" i="46"/>
  <c r="F120" i="46"/>
  <c r="E120" i="46" s="1"/>
  <c r="AC119" i="46"/>
  <c r="X119" i="46"/>
  <c r="P119" i="46"/>
  <c r="E119" i="46" s="1"/>
  <c r="F119" i="46"/>
  <c r="AC118" i="46"/>
  <c r="X118" i="46"/>
  <c r="P118" i="46"/>
  <c r="F118" i="46"/>
  <c r="AC117" i="46"/>
  <c r="X117" i="46"/>
  <c r="P117" i="46"/>
  <c r="E117" i="46" s="1"/>
  <c r="F117" i="46"/>
  <c r="AC116" i="46"/>
  <c r="X116" i="46"/>
  <c r="P116" i="46"/>
  <c r="F116" i="46"/>
  <c r="AC115" i="46"/>
  <c r="X115" i="46"/>
  <c r="P115" i="46"/>
  <c r="F115" i="46"/>
  <c r="E115" i="46"/>
  <c r="AC114" i="46"/>
  <c r="X114" i="46"/>
  <c r="P114" i="46"/>
  <c r="F114" i="46"/>
  <c r="E114" i="46" s="1"/>
  <c r="AF113" i="46"/>
  <c r="AE113" i="46"/>
  <c r="AD113" i="46"/>
  <c r="AB113" i="46"/>
  <c r="AA113" i="46"/>
  <c r="Z113" i="46"/>
  <c r="Y113" i="46"/>
  <c r="W113" i="46"/>
  <c r="V113" i="46"/>
  <c r="U113" i="46"/>
  <c r="T113" i="46"/>
  <c r="S113" i="46"/>
  <c r="R113" i="46"/>
  <c r="Q113" i="46"/>
  <c r="O113" i="46"/>
  <c r="N113" i="46"/>
  <c r="M113" i="46"/>
  <c r="L113" i="46"/>
  <c r="K113" i="46"/>
  <c r="J113" i="46"/>
  <c r="I113" i="46"/>
  <c r="H113" i="46"/>
  <c r="G113" i="46"/>
  <c r="AF112" i="46"/>
  <c r="AE112" i="46"/>
  <c r="AE185" i="46" s="1"/>
  <c r="AD112" i="46"/>
  <c r="AB112" i="46"/>
  <c r="AA112" i="46"/>
  <c r="Z112" i="46"/>
  <c r="Y112" i="46"/>
  <c r="W112" i="46"/>
  <c r="V112" i="46"/>
  <c r="U112" i="46"/>
  <c r="U185" i="46" s="1"/>
  <c r="T112" i="46"/>
  <c r="S112" i="46"/>
  <c r="R112" i="46"/>
  <c r="Q112" i="46"/>
  <c r="O112" i="46"/>
  <c r="N112" i="46"/>
  <c r="M112" i="46"/>
  <c r="L112" i="46"/>
  <c r="L185" i="46" s="1"/>
  <c r="K112" i="46"/>
  <c r="J112" i="46"/>
  <c r="I112" i="46"/>
  <c r="H112" i="46"/>
  <c r="G112" i="46"/>
  <c r="AC111" i="46"/>
  <c r="X111" i="46"/>
  <c r="P111" i="46"/>
  <c r="E111" i="46" s="1"/>
  <c r="F111" i="46"/>
  <c r="AC110" i="46"/>
  <c r="X110" i="46"/>
  <c r="P110" i="46"/>
  <c r="F110" i="46"/>
  <c r="AC109" i="46"/>
  <c r="X109" i="46"/>
  <c r="P109" i="46"/>
  <c r="F109" i="46"/>
  <c r="E109" i="46"/>
  <c r="AC108" i="46"/>
  <c r="X108" i="46"/>
  <c r="P108" i="46"/>
  <c r="F108" i="46"/>
  <c r="E108" i="46" s="1"/>
  <c r="AC107" i="46"/>
  <c r="X107" i="46"/>
  <c r="P107" i="46"/>
  <c r="F107" i="46"/>
  <c r="E107" i="46"/>
  <c r="AC106" i="46"/>
  <c r="X106" i="46"/>
  <c r="P106" i="46"/>
  <c r="F106" i="46"/>
  <c r="E106" i="46" s="1"/>
  <c r="AC105" i="46"/>
  <c r="X105" i="46"/>
  <c r="P105" i="46"/>
  <c r="E105" i="46" s="1"/>
  <c r="F105" i="46"/>
  <c r="AC104" i="46"/>
  <c r="X104" i="46"/>
  <c r="P104" i="46"/>
  <c r="F104" i="46"/>
  <c r="AC103" i="46"/>
  <c r="X103" i="46"/>
  <c r="P103" i="46"/>
  <c r="E103" i="46" s="1"/>
  <c r="F103" i="46"/>
  <c r="AC102" i="46"/>
  <c r="X102" i="46"/>
  <c r="P102" i="46"/>
  <c r="F102" i="46"/>
  <c r="AC101" i="46"/>
  <c r="X101" i="46"/>
  <c r="P101" i="46"/>
  <c r="F101" i="46"/>
  <c r="E101" i="46"/>
  <c r="AC100" i="46"/>
  <c r="X100" i="46"/>
  <c r="P100" i="46"/>
  <c r="F100" i="46"/>
  <c r="E100" i="46" s="1"/>
  <c r="AC99" i="46"/>
  <c r="X99" i="46"/>
  <c r="P99" i="46"/>
  <c r="F99" i="46"/>
  <c r="E99" i="46"/>
  <c r="AE98" i="46"/>
  <c r="AB98" i="46"/>
  <c r="Z98" i="46"/>
  <c r="W98" i="46"/>
  <c r="U98" i="46"/>
  <c r="S98" i="46"/>
  <c r="Q98" i="46"/>
  <c r="N98" i="46"/>
  <c r="L98" i="46"/>
  <c r="J98" i="46"/>
  <c r="H98" i="46"/>
  <c r="AF97" i="46"/>
  <c r="AF98" i="46" s="1"/>
  <c r="AE97" i="46"/>
  <c r="AD97" i="46"/>
  <c r="AD98" i="46" s="1"/>
  <c r="AB97" i="46"/>
  <c r="AA97" i="46"/>
  <c r="AA98" i="46" s="1"/>
  <c r="Z97" i="46"/>
  <c r="Y97" i="46"/>
  <c r="Y98" i="46" s="1"/>
  <c r="W97" i="46"/>
  <c r="V97" i="46"/>
  <c r="V98" i="46" s="1"/>
  <c r="V186" i="46" s="1"/>
  <c r="U97" i="46"/>
  <c r="T97" i="46"/>
  <c r="T98" i="46" s="1"/>
  <c r="S97" i="46"/>
  <c r="R97" i="46"/>
  <c r="R98" i="46" s="1"/>
  <c r="R186" i="46" s="1"/>
  <c r="Q97" i="46"/>
  <c r="O97" i="46"/>
  <c r="O98" i="46" s="1"/>
  <c r="N97" i="46"/>
  <c r="M97" i="46"/>
  <c r="M98" i="46" s="1"/>
  <c r="L97" i="46"/>
  <c r="K97" i="46"/>
  <c r="K98" i="46" s="1"/>
  <c r="J97" i="46"/>
  <c r="I97" i="46"/>
  <c r="I98" i="46" s="1"/>
  <c r="H97" i="46"/>
  <c r="G97" i="46"/>
  <c r="G98" i="46" s="1"/>
  <c r="AC96" i="46"/>
  <c r="X96" i="46"/>
  <c r="P96" i="46"/>
  <c r="F96" i="46"/>
  <c r="AC95" i="46"/>
  <c r="X95" i="46"/>
  <c r="P95" i="46"/>
  <c r="F95" i="46"/>
  <c r="E95" i="46"/>
  <c r="AC94" i="46"/>
  <c r="X94" i="46"/>
  <c r="P94" i="46"/>
  <c r="F94" i="46"/>
  <c r="E94" i="46" s="1"/>
  <c r="AC93" i="46"/>
  <c r="X93" i="46"/>
  <c r="P93" i="46"/>
  <c r="F93" i="46"/>
  <c r="E93" i="46"/>
  <c r="AC92" i="46"/>
  <c r="X92" i="46"/>
  <c r="P92" i="46"/>
  <c r="F92" i="46"/>
  <c r="E92" i="46" s="1"/>
  <c r="AC91" i="46"/>
  <c r="X91" i="46"/>
  <c r="P91" i="46"/>
  <c r="E91" i="46" s="1"/>
  <c r="F91" i="46"/>
  <c r="AC90" i="46"/>
  <c r="X90" i="46"/>
  <c r="P90" i="46"/>
  <c r="F90" i="46"/>
  <c r="AC89" i="46"/>
  <c r="X89" i="46"/>
  <c r="P89" i="46"/>
  <c r="E89" i="46" s="1"/>
  <c r="F89" i="46"/>
  <c r="AC88" i="46"/>
  <c r="X88" i="46"/>
  <c r="P88" i="46"/>
  <c r="F88" i="46"/>
  <c r="AC87" i="46"/>
  <c r="X87" i="46"/>
  <c r="P87" i="46"/>
  <c r="F87" i="46"/>
  <c r="E87" i="46"/>
  <c r="AC86" i="46"/>
  <c r="X86" i="46"/>
  <c r="P86" i="46"/>
  <c r="F86" i="46"/>
  <c r="E86" i="46" s="1"/>
  <c r="AC85" i="46"/>
  <c r="X85" i="46"/>
  <c r="P85" i="46"/>
  <c r="F85" i="46"/>
  <c r="E85" i="46"/>
  <c r="AC84" i="46"/>
  <c r="X84" i="46"/>
  <c r="P84" i="46"/>
  <c r="F84" i="46"/>
  <c r="E84" i="46" s="1"/>
  <c r="AC83" i="46"/>
  <c r="X83" i="46"/>
  <c r="P83" i="46"/>
  <c r="E83" i="46" s="1"/>
  <c r="F83" i="46"/>
  <c r="AE82" i="46"/>
  <c r="AB82" i="46"/>
  <c r="Z82" i="46"/>
  <c r="W82" i="46"/>
  <c r="U82" i="46"/>
  <c r="S82" i="46"/>
  <c r="Q82" i="46"/>
  <c r="N82" i="46"/>
  <c r="L82" i="46"/>
  <c r="J82" i="46"/>
  <c r="H82" i="46"/>
  <c r="AF81" i="46"/>
  <c r="AF82" i="46" s="1"/>
  <c r="AE81" i="46"/>
  <c r="AD81" i="46"/>
  <c r="AD82" i="46" s="1"/>
  <c r="AB81" i="46"/>
  <c r="AA81" i="46"/>
  <c r="AA82" i="46" s="1"/>
  <c r="Z81" i="46"/>
  <c r="Y81" i="46"/>
  <c r="Y82" i="46" s="1"/>
  <c r="W81" i="46"/>
  <c r="V81" i="46"/>
  <c r="V82" i="46" s="1"/>
  <c r="U81" i="46"/>
  <c r="T81" i="46"/>
  <c r="T82" i="46" s="1"/>
  <c r="S81" i="46"/>
  <c r="R81" i="46"/>
  <c r="R82" i="46" s="1"/>
  <c r="Q81" i="46"/>
  <c r="O81" i="46"/>
  <c r="O82" i="46" s="1"/>
  <c r="N81" i="46"/>
  <c r="M81" i="46"/>
  <c r="M82" i="46" s="1"/>
  <c r="L81" i="46"/>
  <c r="K81" i="46"/>
  <c r="K82" i="46" s="1"/>
  <c r="J81" i="46"/>
  <c r="I81" i="46"/>
  <c r="I82" i="46" s="1"/>
  <c r="H81" i="46"/>
  <c r="G81" i="46"/>
  <c r="G82" i="46" s="1"/>
  <c r="AC80" i="46"/>
  <c r="X80" i="46"/>
  <c r="P80" i="46"/>
  <c r="F80" i="46"/>
  <c r="E80" i="46" s="1"/>
  <c r="AC79" i="46"/>
  <c r="X79" i="46"/>
  <c r="P79" i="46"/>
  <c r="F79" i="46"/>
  <c r="E79" i="46"/>
  <c r="AC78" i="46"/>
  <c r="X78" i="46"/>
  <c r="P78" i="46"/>
  <c r="F78" i="46"/>
  <c r="E78" i="46" s="1"/>
  <c r="AC77" i="46"/>
  <c r="X77" i="46"/>
  <c r="P77" i="46"/>
  <c r="E77" i="46" s="1"/>
  <c r="F77" i="46"/>
  <c r="AC76" i="46"/>
  <c r="X76" i="46"/>
  <c r="P76" i="46"/>
  <c r="F76" i="46"/>
  <c r="AC75" i="46"/>
  <c r="X75" i="46"/>
  <c r="P75" i="46"/>
  <c r="E75" i="46" s="1"/>
  <c r="F75" i="46"/>
  <c r="AC74" i="46"/>
  <c r="X74" i="46"/>
  <c r="P74" i="46"/>
  <c r="F74" i="46"/>
  <c r="AC73" i="46"/>
  <c r="X73" i="46"/>
  <c r="P73" i="46"/>
  <c r="F73" i="46"/>
  <c r="E73" i="46"/>
  <c r="AC72" i="46"/>
  <c r="X72" i="46"/>
  <c r="P72" i="46"/>
  <c r="F72" i="46"/>
  <c r="E72" i="46" s="1"/>
  <c r="AC71" i="46"/>
  <c r="X71" i="46"/>
  <c r="P71" i="46"/>
  <c r="F71" i="46"/>
  <c r="E71" i="46"/>
  <c r="AC70" i="46"/>
  <c r="X70" i="46"/>
  <c r="P70" i="46"/>
  <c r="F70" i="46"/>
  <c r="E70" i="46" s="1"/>
  <c r="AC69" i="46"/>
  <c r="X69" i="46"/>
  <c r="P69" i="46"/>
  <c r="E69" i="46" s="1"/>
  <c r="F69" i="46"/>
  <c r="AC68" i="46"/>
  <c r="X68" i="46"/>
  <c r="P68" i="46"/>
  <c r="F68" i="46"/>
  <c r="AC67" i="46"/>
  <c r="X67" i="46"/>
  <c r="P67" i="46"/>
  <c r="E67" i="46" s="1"/>
  <c r="F67" i="46"/>
  <c r="AC66" i="46"/>
  <c r="X66" i="46"/>
  <c r="P66" i="46"/>
  <c r="F66" i="46"/>
  <c r="AC65" i="46"/>
  <c r="X65" i="46"/>
  <c r="P65" i="46"/>
  <c r="F65" i="46"/>
  <c r="E65" i="46"/>
  <c r="AC64" i="46"/>
  <c r="X64" i="46"/>
  <c r="P64" i="46"/>
  <c r="F64" i="46"/>
  <c r="E64" i="46" s="1"/>
  <c r="AC63" i="46"/>
  <c r="X63" i="46"/>
  <c r="P63" i="46"/>
  <c r="F63" i="46"/>
  <c r="E63" i="46"/>
  <c r="AC62" i="46"/>
  <c r="X62" i="46"/>
  <c r="P62" i="46"/>
  <c r="F62" i="46"/>
  <c r="E62" i="46" s="1"/>
  <c r="AC61" i="46"/>
  <c r="X61" i="46"/>
  <c r="P61" i="46"/>
  <c r="E61" i="46" s="1"/>
  <c r="F61" i="46"/>
  <c r="AC60" i="46"/>
  <c r="X60" i="46"/>
  <c r="P60" i="46"/>
  <c r="F60" i="46"/>
  <c r="AC59" i="46"/>
  <c r="X59" i="46"/>
  <c r="P59" i="46"/>
  <c r="E59" i="46" s="1"/>
  <c r="F59" i="46"/>
  <c r="AE58" i="46"/>
  <c r="AB58" i="46"/>
  <c r="Z58" i="46"/>
  <c r="W58" i="46"/>
  <c r="U58" i="46"/>
  <c r="S58" i="46"/>
  <c r="Q58" i="46"/>
  <c r="N58" i="46"/>
  <c r="L58" i="46"/>
  <c r="J58" i="46"/>
  <c r="H58" i="46"/>
  <c r="AF57" i="46"/>
  <c r="AF58" i="46" s="1"/>
  <c r="AE57" i="46"/>
  <c r="AD57" i="46"/>
  <c r="AD58" i="46" s="1"/>
  <c r="AB57" i="46"/>
  <c r="AA57" i="46"/>
  <c r="AA58" i="46" s="1"/>
  <c r="Z57" i="46"/>
  <c r="Y57" i="46"/>
  <c r="Y58" i="46" s="1"/>
  <c r="W57" i="46"/>
  <c r="V57" i="46"/>
  <c r="V58" i="46" s="1"/>
  <c r="U57" i="46"/>
  <c r="T57" i="46"/>
  <c r="T58" i="46" s="1"/>
  <c r="S57" i="46"/>
  <c r="R57" i="46"/>
  <c r="R58" i="46" s="1"/>
  <c r="Q57" i="46"/>
  <c r="O57" i="46"/>
  <c r="O58" i="46" s="1"/>
  <c r="N57" i="46"/>
  <c r="M57" i="46"/>
  <c r="M58" i="46" s="1"/>
  <c r="L57" i="46"/>
  <c r="K57" i="46"/>
  <c r="K58" i="46" s="1"/>
  <c r="J57" i="46"/>
  <c r="I57" i="46"/>
  <c r="I58" i="46" s="1"/>
  <c r="H57" i="46"/>
  <c r="G57" i="46"/>
  <c r="G58" i="46" s="1"/>
  <c r="AC56" i="46"/>
  <c r="X56" i="46"/>
  <c r="P56" i="46"/>
  <c r="F56" i="46"/>
  <c r="E56" i="46" s="1"/>
  <c r="AC55" i="46"/>
  <c r="X55" i="46"/>
  <c r="P55" i="46"/>
  <c r="E55" i="46" s="1"/>
  <c r="F55" i="46"/>
  <c r="AC54" i="46"/>
  <c r="X54" i="46"/>
  <c r="P54" i="46"/>
  <c r="F54" i="46"/>
  <c r="AC53" i="46"/>
  <c r="X53" i="46"/>
  <c r="P53" i="46"/>
  <c r="E53" i="46" s="1"/>
  <c r="F53" i="46"/>
  <c r="AC52" i="46"/>
  <c r="X52" i="46"/>
  <c r="P52" i="46"/>
  <c r="F52" i="46"/>
  <c r="AC51" i="46"/>
  <c r="X51" i="46"/>
  <c r="P51" i="46"/>
  <c r="F51" i="46"/>
  <c r="E51" i="46"/>
  <c r="AC50" i="46"/>
  <c r="X50" i="46"/>
  <c r="P50" i="46"/>
  <c r="F50" i="46"/>
  <c r="E50" i="46" s="1"/>
  <c r="AC49" i="46"/>
  <c r="X49" i="46"/>
  <c r="P49" i="46"/>
  <c r="F49" i="46"/>
  <c r="E49" i="46"/>
  <c r="AC48" i="46"/>
  <c r="X48" i="46"/>
  <c r="P48" i="46"/>
  <c r="F48" i="46"/>
  <c r="E48" i="46" s="1"/>
  <c r="AC47" i="46"/>
  <c r="X47" i="46"/>
  <c r="P47" i="46"/>
  <c r="E47" i="46" s="1"/>
  <c r="F47" i="46"/>
  <c r="AC46" i="46"/>
  <c r="X46" i="46"/>
  <c r="P46" i="46"/>
  <c r="F46" i="46"/>
  <c r="AC45" i="46"/>
  <c r="X45" i="46"/>
  <c r="P45" i="46"/>
  <c r="E45" i="46" s="1"/>
  <c r="F45" i="46"/>
  <c r="AC44" i="46"/>
  <c r="X44" i="46"/>
  <c r="P44" i="46"/>
  <c r="F44" i="46"/>
  <c r="AC43" i="46"/>
  <c r="X43" i="46"/>
  <c r="P43" i="46"/>
  <c r="F43" i="46"/>
  <c r="E43" i="46"/>
  <c r="AF42" i="46"/>
  <c r="AE42" i="46"/>
  <c r="AD42" i="46"/>
  <c r="AB42" i="46"/>
  <c r="AA42" i="46"/>
  <c r="Z42" i="46"/>
  <c r="Y42" i="46"/>
  <c r="W42" i="46"/>
  <c r="V42" i="46"/>
  <c r="U42" i="46"/>
  <c r="T42" i="46"/>
  <c r="S42" i="46"/>
  <c r="R42" i="46"/>
  <c r="Q42" i="46"/>
  <c r="O42" i="46"/>
  <c r="N42" i="46"/>
  <c r="M42" i="46"/>
  <c r="L42" i="46"/>
  <c r="K42" i="46"/>
  <c r="J42" i="46"/>
  <c r="I42" i="46"/>
  <c r="H42" i="46"/>
  <c r="G42" i="46"/>
  <c r="AF41" i="46"/>
  <c r="AE41" i="46"/>
  <c r="AD41" i="46"/>
  <c r="AB41" i="46"/>
  <c r="AA41" i="46"/>
  <c r="Z41" i="46"/>
  <c r="Y41" i="46"/>
  <c r="W41" i="46"/>
  <c r="V41" i="46"/>
  <c r="U41" i="46"/>
  <c r="T41" i="46"/>
  <c r="S41" i="46"/>
  <c r="R41" i="46"/>
  <c r="Q41" i="46"/>
  <c r="O41" i="46"/>
  <c r="N41" i="46"/>
  <c r="M41" i="46"/>
  <c r="L41" i="46"/>
  <c r="K41" i="46"/>
  <c r="J41" i="46"/>
  <c r="I41" i="46"/>
  <c r="H41" i="46"/>
  <c r="G41" i="46"/>
  <c r="AC40" i="46"/>
  <c r="X40" i="46"/>
  <c r="P40" i="46"/>
  <c r="F40" i="46"/>
  <c r="AC39" i="46"/>
  <c r="X39" i="46"/>
  <c r="P39" i="46"/>
  <c r="E39" i="46" s="1"/>
  <c r="F39" i="46"/>
  <c r="AC38" i="46"/>
  <c r="X38" i="46"/>
  <c r="P38" i="46"/>
  <c r="F38" i="46"/>
  <c r="AC37" i="46"/>
  <c r="X37" i="46"/>
  <c r="P37" i="46"/>
  <c r="F37" i="46"/>
  <c r="E37" i="46"/>
  <c r="AC36" i="46"/>
  <c r="X36" i="46"/>
  <c r="P36" i="46"/>
  <c r="F36" i="46"/>
  <c r="E36" i="46" s="1"/>
  <c r="AC35" i="46"/>
  <c r="X35" i="46"/>
  <c r="P35" i="46"/>
  <c r="F35" i="46"/>
  <c r="E35" i="46"/>
  <c r="AC34" i="46"/>
  <c r="X34" i="46"/>
  <c r="P34" i="46"/>
  <c r="F34" i="46"/>
  <c r="E34" i="46" s="1"/>
  <c r="AC33" i="46"/>
  <c r="X33" i="46"/>
  <c r="P33" i="46"/>
  <c r="E33" i="46" s="1"/>
  <c r="F33" i="46"/>
  <c r="AC32" i="46"/>
  <c r="X32" i="46"/>
  <c r="P32" i="46"/>
  <c r="F32" i="46"/>
  <c r="AC31" i="46"/>
  <c r="X31" i="46"/>
  <c r="P31" i="46"/>
  <c r="E31" i="46" s="1"/>
  <c r="F31" i="46"/>
  <c r="AC30" i="46"/>
  <c r="X30" i="46"/>
  <c r="P30" i="46"/>
  <c r="F30" i="46"/>
  <c r="AC29" i="46"/>
  <c r="X29" i="46"/>
  <c r="P29" i="46"/>
  <c r="F29" i="46"/>
  <c r="E29" i="46"/>
  <c r="AC28" i="46"/>
  <c r="X28" i="46"/>
  <c r="P28" i="46"/>
  <c r="F28" i="46"/>
  <c r="E28" i="46" s="1"/>
  <c r="AC27" i="46"/>
  <c r="X27" i="46"/>
  <c r="P27" i="46"/>
  <c r="F27" i="46"/>
  <c r="E27" i="46"/>
  <c r="AC26" i="46"/>
  <c r="X26" i="46"/>
  <c r="P26" i="46"/>
  <c r="F26" i="46"/>
  <c r="E26" i="46" s="1"/>
  <c r="AF25" i="46"/>
  <c r="AE25" i="46"/>
  <c r="AD25" i="46"/>
  <c r="AB25" i="46"/>
  <c r="AB186" i="46" s="1"/>
  <c r="AA25" i="46"/>
  <c r="Z25" i="46"/>
  <c r="Y25" i="46"/>
  <c r="W25" i="46"/>
  <c r="W186" i="46" s="1"/>
  <c r="V25" i="46"/>
  <c r="U25" i="46"/>
  <c r="T25" i="46"/>
  <c r="S25" i="46"/>
  <c r="S186" i="46" s="1"/>
  <c r="R25" i="46"/>
  <c r="Q25" i="46"/>
  <c r="O25" i="46"/>
  <c r="N25" i="46"/>
  <c r="N186" i="46" s="1"/>
  <c r="M25" i="46"/>
  <c r="L25" i="46"/>
  <c r="K25" i="46"/>
  <c r="J25" i="46"/>
  <c r="J186" i="46" s="1"/>
  <c r="I25" i="46"/>
  <c r="H25" i="46"/>
  <c r="G25" i="46"/>
  <c r="G186" i="46" s="1"/>
  <c r="AF24" i="46"/>
  <c r="AF185" i="46" s="1"/>
  <c r="AE24" i="46"/>
  <c r="AD24" i="46"/>
  <c r="AB24" i="46"/>
  <c r="AA24" i="46"/>
  <c r="Z24" i="46"/>
  <c r="Y24" i="46"/>
  <c r="W24" i="46"/>
  <c r="V24" i="46"/>
  <c r="U24" i="46"/>
  <c r="T24" i="46"/>
  <c r="S24" i="46"/>
  <c r="R24" i="46"/>
  <c r="Q24" i="46"/>
  <c r="O24" i="46"/>
  <c r="N24" i="46"/>
  <c r="M24" i="46"/>
  <c r="L24" i="46"/>
  <c r="K24" i="46"/>
  <c r="J24" i="46"/>
  <c r="I24" i="46"/>
  <c r="H24" i="46"/>
  <c r="G24" i="46"/>
  <c r="AC23" i="46"/>
  <c r="X23" i="46"/>
  <c r="P23" i="46"/>
  <c r="F23" i="46"/>
  <c r="E23" i="46" s="1"/>
  <c r="AC22" i="46"/>
  <c r="X22" i="46"/>
  <c r="P22" i="46"/>
  <c r="F22" i="46"/>
  <c r="E22" i="46"/>
  <c r="AC21" i="46"/>
  <c r="X21" i="46"/>
  <c r="P21" i="46"/>
  <c r="F21" i="46"/>
  <c r="E21" i="46" s="1"/>
  <c r="AC20" i="46"/>
  <c r="X20" i="46"/>
  <c r="P20" i="46"/>
  <c r="E20" i="46" s="1"/>
  <c r="F20" i="46"/>
  <c r="AC19" i="46"/>
  <c r="X19" i="46"/>
  <c r="P19" i="46"/>
  <c r="F19" i="46"/>
  <c r="AC18" i="46"/>
  <c r="X18" i="46"/>
  <c r="P18" i="46"/>
  <c r="E18" i="46" s="1"/>
  <c r="F18" i="46"/>
  <c r="AC17" i="46"/>
  <c r="X17" i="46"/>
  <c r="P17" i="46"/>
  <c r="F17" i="46"/>
  <c r="AC16" i="46"/>
  <c r="X16" i="46"/>
  <c r="P16" i="46"/>
  <c r="F16" i="46"/>
  <c r="E16" i="46"/>
  <c r="AC15" i="46"/>
  <c r="X15" i="46"/>
  <c r="P15" i="46"/>
  <c r="F15" i="46"/>
  <c r="E15" i="46" s="1"/>
  <c r="AC14" i="46"/>
  <c r="X14" i="46"/>
  <c r="P14" i="46"/>
  <c r="F14" i="46"/>
  <c r="E14" i="46"/>
  <c r="AC13" i="46"/>
  <c r="X13" i="46"/>
  <c r="P13" i="46"/>
  <c r="F13" i="46"/>
  <c r="E13" i="46" s="1"/>
  <c r="AC12" i="46"/>
  <c r="X12" i="46"/>
  <c r="P12" i="46"/>
  <c r="E12" i="46" s="1"/>
  <c r="F12" i="46"/>
  <c r="D105" i="48" l="1"/>
  <c r="D36" i="48"/>
  <c r="D160" i="48"/>
  <c r="D139" i="48"/>
  <c r="D141" i="48"/>
  <c r="D119" i="48"/>
  <c r="D128" i="48"/>
  <c r="D120" i="48"/>
  <c r="D95" i="48"/>
  <c r="D87" i="48"/>
  <c r="D39" i="48"/>
  <c r="D31" i="48"/>
  <c r="D17" i="48"/>
  <c r="D101" i="48"/>
  <c r="D80" i="48"/>
  <c r="D124" i="48"/>
  <c r="D108" i="48"/>
  <c r="D78" i="48"/>
  <c r="AC24" i="46"/>
  <c r="I186" i="46"/>
  <c r="M186" i="46"/>
  <c r="AA186" i="46"/>
  <c r="AF186" i="46"/>
  <c r="E96" i="46"/>
  <c r="E102" i="46"/>
  <c r="E110" i="46"/>
  <c r="E116" i="46"/>
  <c r="E124" i="46"/>
  <c r="E136" i="46"/>
  <c r="E144" i="46"/>
  <c r="E156" i="46"/>
  <c r="E177" i="46"/>
  <c r="H185" i="46"/>
  <c r="Q185" i="46"/>
  <c r="Z185" i="46"/>
  <c r="G185" i="46"/>
  <c r="K185" i="46"/>
  <c r="O185" i="46"/>
  <c r="T185" i="46"/>
  <c r="Y185" i="46"/>
  <c r="K186" i="46"/>
  <c r="O186" i="46"/>
  <c r="T186" i="46"/>
  <c r="Y186" i="46"/>
  <c r="AD186" i="46"/>
  <c r="N185" i="46"/>
  <c r="W185" i="46"/>
  <c r="E17" i="46"/>
  <c r="AD185" i="46"/>
  <c r="H186" i="46"/>
  <c r="L186" i="46"/>
  <c r="Q186" i="46"/>
  <c r="U186" i="46"/>
  <c r="Z186" i="46"/>
  <c r="AE186" i="46"/>
  <c r="E30" i="46"/>
  <c r="E38" i="46"/>
  <c r="E44" i="46"/>
  <c r="E52" i="46"/>
  <c r="E66" i="46"/>
  <c r="E74" i="46"/>
  <c r="E88" i="46"/>
  <c r="E19" i="46"/>
  <c r="I185" i="46"/>
  <c r="M185" i="46"/>
  <c r="R185" i="46"/>
  <c r="V185" i="46"/>
  <c r="AA185" i="46"/>
  <c r="E32" i="46"/>
  <c r="E40" i="46"/>
  <c r="E46" i="46"/>
  <c r="E54" i="46"/>
  <c r="E60" i="46"/>
  <c r="E68" i="46"/>
  <c r="E76" i="46"/>
  <c r="E90" i="46"/>
  <c r="E104" i="46"/>
  <c r="E118" i="46"/>
  <c r="E126" i="46"/>
  <c r="E138" i="46"/>
  <c r="E158" i="46"/>
  <c r="E171" i="46"/>
  <c r="E179" i="46"/>
  <c r="J185" i="46"/>
  <c r="S185" i="46"/>
  <c r="AB185" i="46"/>
  <c r="C13" i="35"/>
  <c r="O20" i="15" l="1"/>
  <c r="P20" i="15"/>
  <c r="O15" i="15"/>
  <c r="J15" i="12"/>
  <c r="F13" i="12"/>
  <c r="F12" i="12"/>
  <c r="F11" i="12"/>
  <c r="D6" i="12"/>
  <c r="I14" i="12" s="1"/>
  <c r="I10" i="12" l="1"/>
  <c r="I17" i="12" s="1"/>
  <c r="F14" i="12"/>
  <c r="F15" i="12" s="1"/>
  <c r="F17" i="12" s="1"/>
  <c r="O36" i="15"/>
  <c r="O39" i="15" s="1"/>
  <c r="BA54" i="10"/>
  <c r="AF50" i="10"/>
  <c r="AC50" i="10"/>
  <c r="Z50" i="10"/>
  <c r="AX46" i="10"/>
  <c r="AU46" i="10"/>
  <c r="AR46" i="10"/>
  <c r="AO46" i="10"/>
  <c r="AL46" i="10"/>
  <c r="AI46" i="10"/>
  <c r="AF46" i="10"/>
  <c r="AC46" i="10"/>
  <c r="Z46" i="10"/>
  <c r="W46" i="10"/>
  <c r="N46" i="10"/>
  <c r="K46" i="10"/>
  <c r="H46" i="10"/>
  <c r="E46" i="10"/>
  <c r="B46" i="10"/>
  <c r="BA45" i="10"/>
  <c r="BA44" i="10"/>
  <c r="BA43" i="10"/>
  <c r="BA42" i="10"/>
  <c r="T41" i="10"/>
  <c r="T46" i="10" s="1"/>
  <c r="Q41" i="10"/>
  <c r="BA40" i="10"/>
  <c r="BA39" i="10"/>
  <c r="BA38" i="10"/>
  <c r="AX35" i="10"/>
  <c r="AF35" i="10"/>
  <c r="AC35" i="10"/>
  <c r="Z35" i="10"/>
  <c r="W35" i="10"/>
  <c r="T35" i="10"/>
  <c r="Q35" i="10"/>
  <c r="N35" i="10"/>
  <c r="K35" i="10"/>
  <c r="H35" i="10"/>
  <c r="E35" i="10"/>
  <c r="B35" i="10"/>
  <c r="BA34" i="10"/>
  <c r="AI33" i="10"/>
  <c r="AI35" i="10" s="1"/>
  <c r="BA32" i="10"/>
  <c r="BA31" i="10"/>
  <c r="BA30" i="10"/>
  <c r="AU29" i="10"/>
  <c r="AU35" i="10" s="1"/>
  <c r="AR29" i="10"/>
  <c r="AR35" i="10" s="1"/>
  <c r="AR53" i="10" s="1"/>
  <c r="AO29" i="10"/>
  <c r="AO35" i="10" s="1"/>
  <c r="AL29" i="10"/>
  <c r="BA26" i="10"/>
  <c r="BA25" i="10"/>
  <c r="AY19" i="10"/>
  <c r="AX19" i="10"/>
  <c r="AV19" i="10"/>
  <c r="AU19" i="10"/>
  <c r="AS19" i="10"/>
  <c r="AP19" i="10"/>
  <c r="AM19" i="10"/>
  <c r="AJ19" i="10"/>
  <c r="AG19" i="10"/>
  <c r="AD19" i="10"/>
  <c r="AA19" i="10"/>
  <c r="X19" i="10"/>
  <c r="U19" i="10"/>
  <c r="R19" i="10"/>
  <c r="O19" i="10"/>
  <c r="L19" i="10"/>
  <c r="I19" i="10"/>
  <c r="AR18" i="10"/>
  <c r="BA18" i="10" s="1"/>
  <c r="AI16" i="10"/>
  <c r="AF16" i="10"/>
  <c r="AC16" i="10"/>
  <c r="Z16" i="10"/>
  <c r="T16" i="10"/>
  <c r="Q16" i="10"/>
  <c r="N16" i="10"/>
  <c r="K16" i="10"/>
  <c r="H16" i="10"/>
  <c r="E16" i="10"/>
  <c r="AR14" i="10"/>
  <c r="AO14" i="10"/>
  <c r="AL14" i="10"/>
  <c r="AI14" i="10"/>
  <c r="AF14" i="10"/>
  <c r="AC14" i="10"/>
  <c r="Z14" i="10"/>
  <c r="T14" i="10"/>
  <c r="Q14" i="10"/>
  <c r="N14" i="10"/>
  <c r="K14" i="10"/>
  <c r="H14" i="10"/>
  <c r="E14" i="10"/>
  <c r="B14" i="10"/>
  <c r="Z12" i="10"/>
  <c r="T12" i="10"/>
  <c r="Q12" i="10"/>
  <c r="N12" i="10"/>
  <c r="AL10" i="10"/>
  <c r="AI10" i="10"/>
  <c r="AF10" i="10"/>
  <c r="AC10" i="10"/>
  <c r="Z10" i="10"/>
  <c r="W10" i="10"/>
  <c r="T10" i="10"/>
  <c r="Q10" i="10"/>
  <c r="N10" i="10"/>
  <c r="H10" i="10"/>
  <c r="AR8" i="10"/>
  <c r="AO8" i="10"/>
  <c r="AO19" i="10" s="1"/>
  <c r="AL8" i="10"/>
  <c r="AL19" i="10" s="1"/>
  <c r="AI8" i="10"/>
  <c r="AF8" i="10"/>
  <c r="AC8" i="10"/>
  <c r="Z8" i="10"/>
  <c r="W8" i="10"/>
  <c r="W19" i="10" s="1"/>
  <c r="T8" i="10"/>
  <c r="Q8" i="10"/>
  <c r="N8" i="10"/>
  <c r="K8" i="10"/>
  <c r="H8" i="10"/>
  <c r="E8" i="10"/>
  <c r="B8" i="10"/>
  <c r="K14" i="7"/>
  <c r="J14" i="7"/>
  <c r="I14" i="7"/>
  <c r="H14" i="7"/>
  <c r="G14" i="7"/>
  <c r="F14" i="7"/>
  <c r="E14" i="7"/>
  <c r="C14" i="7"/>
  <c r="B14" i="7"/>
  <c r="D17" i="7"/>
  <c r="B19" i="10" l="1"/>
  <c r="K19" i="10"/>
  <c r="AI19" i="10"/>
  <c r="BA41" i="10"/>
  <c r="BA46" i="10" s="1"/>
  <c r="K53" i="10"/>
  <c r="K56" i="10" s="1"/>
  <c r="BA14" i="10"/>
  <c r="E53" i="10"/>
  <c r="W53" i="10"/>
  <c r="BA50" i="10"/>
  <c r="AC19" i="10"/>
  <c r="H53" i="10"/>
  <c r="BA16" i="10"/>
  <c r="AX53" i="10"/>
  <c r="Q19" i="10"/>
  <c r="AU53" i="10"/>
  <c r="AI53" i="10"/>
  <c r="AI56" i="10" s="1"/>
  <c r="T53" i="10"/>
  <c r="AO53" i="10"/>
  <c r="AO56" i="10" s="1"/>
  <c r="Z53" i="10"/>
  <c r="W56" i="10"/>
  <c r="Z19" i="10"/>
  <c r="E19" i="10"/>
  <c r="BA10" i="10"/>
  <c r="BA8" i="10"/>
  <c r="T19" i="10"/>
  <c r="T56" i="10" s="1"/>
  <c r="AF19" i="10"/>
  <c r="AR19" i="10"/>
  <c r="AR56" i="10" s="1"/>
  <c r="N19" i="10"/>
  <c r="BA29" i="10"/>
  <c r="AL35" i="10"/>
  <c r="AL53" i="10" s="1"/>
  <c r="AL56" i="10" s="1"/>
  <c r="B53" i="10"/>
  <c r="B56" i="10" s="1"/>
  <c r="N53" i="10"/>
  <c r="AC53" i="10"/>
  <c r="AC56" i="10" s="1"/>
  <c r="H19" i="10"/>
  <c r="AF53" i="10"/>
  <c r="BA12" i="10"/>
  <c r="Q46" i="10"/>
  <c r="Q53" i="10" s="1"/>
  <c r="Q56" i="10" s="1"/>
  <c r="BA33" i="10"/>
  <c r="Z56" i="10" l="1"/>
  <c r="AF56" i="10"/>
  <c r="E56" i="10"/>
  <c r="BA35" i="10"/>
  <c r="BA53" i="10" s="1"/>
  <c r="H56" i="10"/>
  <c r="N56" i="10"/>
  <c r="BA19" i="10"/>
  <c r="BA56" i="10" l="1"/>
  <c r="K18" i="6"/>
  <c r="I17" i="6"/>
  <c r="G17" i="6"/>
  <c r="E17" i="6"/>
  <c r="D17" i="6"/>
  <c r="C17" i="6"/>
  <c r="K11" i="6"/>
  <c r="I11" i="6"/>
  <c r="I10" i="6"/>
  <c r="G10" i="6"/>
  <c r="E10" i="6"/>
  <c r="D10" i="6"/>
  <c r="C10" i="6"/>
  <c r="E11" i="6" l="1"/>
  <c r="I12" i="6" s="1"/>
  <c r="E18" i="6"/>
  <c r="I18" i="6"/>
  <c r="I19" i="6" l="1"/>
  <c r="B33" i="2"/>
  <c r="B34" i="2"/>
  <c r="B39" i="2"/>
  <c r="B38" i="2"/>
  <c r="B37" i="2"/>
  <c r="B36" i="2"/>
  <c r="B35" i="2"/>
  <c r="C26" i="2"/>
  <c r="B26" i="2"/>
</calcChain>
</file>

<file path=xl/comments1.xml><?xml version="1.0" encoding="utf-8"?>
<comments xmlns="http://schemas.openxmlformats.org/spreadsheetml/2006/main">
  <authors>
    <author>Brian Pool</author>
  </authors>
  <commentList>
    <comment ref="B2" authorId="0">
      <text>
        <r>
          <rPr>
            <b/>
            <sz val="9"/>
            <color indexed="81"/>
            <rFont val="Tahoma"/>
            <family val="2"/>
          </rPr>
          <t>Brian Pool:</t>
        </r>
        <r>
          <rPr>
            <sz val="9"/>
            <color indexed="81"/>
            <rFont val="Tahoma"/>
            <family val="2"/>
          </rPr>
          <t xml:space="preserve">
Facilitate consensus score on 8/28</t>
        </r>
      </text>
    </comment>
  </commentList>
</comments>
</file>

<file path=xl/comments2.xml><?xml version="1.0" encoding="utf-8"?>
<comments xmlns="http://schemas.openxmlformats.org/spreadsheetml/2006/main">
  <authors>
    <author>Brian Pool</author>
  </authors>
  <commentList>
    <comment ref="G6" authorId="0">
      <text>
        <r>
          <rPr>
            <b/>
            <sz val="9"/>
            <color indexed="81"/>
            <rFont val="Tahoma"/>
            <family val="2"/>
          </rPr>
          <t>Brian Pool:</t>
        </r>
        <r>
          <rPr>
            <sz val="9"/>
            <color indexed="81"/>
            <rFont val="Tahoma"/>
            <family val="2"/>
          </rPr>
          <t xml:space="preserve">
Hide initially, reveal if needed</t>
        </r>
      </text>
    </comment>
    <comment ref="B8" authorId="0">
      <text>
        <r>
          <rPr>
            <b/>
            <sz val="9"/>
            <color indexed="81"/>
            <rFont val="Tahoma"/>
            <family val="2"/>
          </rPr>
          <t>Brian Pool:</t>
        </r>
        <r>
          <rPr>
            <sz val="9"/>
            <color indexed="81"/>
            <rFont val="Tahoma"/>
            <family val="2"/>
          </rPr>
          <t xml:space="preserve">
Facilitate consensus score on 8/10</t>
        </r>
      </text>
    </comment>
    <comment ref="D8" authorId="0">
      <text>
        <r>
          <rPr>
            <b/>
            <sz val="9"/>
            <color indexed="81"/>
            <rFont val="Tahoma"/>
            <family val="2"/>
          </rPr>
          <t>Brian Pool:</t>
        </r>
        <r>
          <rPr>
            <sz val="9"/>
            <color indexed="81"/>
            <rFont val="Tahoma"/>
            <family val="2"/>
          </rPr>
          <t xml:space="preserve">
Facilitate NA (Not Available), M Medium and H High level of functiionality in 2018</t>
        </r>
      </text>
    </comment>
  </commentList>
</comments>
</file>

<file path=xl/comments3.xml><?xml version="1.0" encoding="utf-8"?>
<comments xmlns="http://schemas.openxmlformats.org/spreadsheetml/2006/main">
  <authors>
    <author>Esquibel, Twyla</author>
  </authors>
  <commentList>
    <comment ref="B6" authorId="0">
      <text>
        <r>
          <rPr>
            <b/>
            <sz val="9"/>
            <color indexed="81"/>
            <rFont val="Tahoma"/>
            <family val="2"/>
          </rPr>
          <t>Esquibel, Twyla:</t>
        </r>
        <r>
          <rPr>
            <sz val="9"/>
            <color indexed="81"/>
            <rFont val="Tahoma"/>
            <family val="2"/>
          </rPr>
          <t xml:space="preserve">
Used document CIC1 Budget 5 26 06</t>
        </r>
      </text>
    </comment>
    <comment ref="E6" authorId="0">
      <text>
        <r>
          <rPr>
            <b/>
            <sz val="9"/>
            <color indexed="81"/>
            <rFont val="Tahoma"/>
            <family val="2"/>
          </rPr>
          <t>Esquibel, Twyla:</t>
        </r>
        <r>
          <rPr>
            <sz val="9"/>
            <color indexed="81"/>
            <rFont val="Tahoma"/>
            <family val="2"/>
          </rPr>
          <t xml:space="preserve">
Used document CIC1 Budget 5 26 06</t>
        </r>
      </text>
    </comment>
    <comment ref="H6" authorId="0">
      <text>
        <r>
          <rPr>
            <b/>
            <sz val="9"/>
            <color indexed="81"/>
            <rFont val="Tahoma"/>
            <family val="2"/>
          </rPr>
          <t>Esquibel, Twyla:</t>
        </r>
        <r>
          <rPr>
            <sz val="9"/>
            <color indexed="81"/>
            <rFont val="Tahoma"/>
            <family val="2"/>
          </rPr>
          <t xml:space="preserve">
Used document CIC1 Budget 5 26 06</t>
        </r>
      </text>
    </comment>
    <comment ref="K6" authorId="0">
      <text>
        <r>
          <rPr>
            <b/>
            <sz val="9"/>
            <color indexed="81"/>
            <rFont val="Tahoma"/>
            <family val="2"/>
          </rPr>
          <t>Esquibel, Twyla:</t>
        </r>
        <r>
          <rPr>
            <sz val="9"/>
            <color indexed="81"/>
            <rFont val="Tahoma"/>
            <family val="2"/>
          </rPr>
          <t xml:space="preserve">
Used document CIC1 Budget 5 26 06</t>
        </r>
      </text>
    </comment>
    <comment ref="N6" authorId="0">
      <text>
        <r>
          <rPr>
            <b/>
            <sz val="9"/>
            <color indexed="81"/>
            <rFont val="Tahoma"/>
            <family val="2"/>
          </rPr>
          <t>Esquibel, Twyla:</t>
        </r>
        <r>
          <rPr>
            <sz val="9"/>
            <color indexed="81"/>
            <rFont val="Tahoma"/>
            <family val="2"/>
          </rPr>
          <t xml:space="preserve">
Used document FY08 Budget_CIC1</t>
        </r>
      </text>
    </comment>
    <comment ref="Q6" authorId="0">
      <text>
        <r>
          <rPr>
            <b/>
            <sz val="9"/>
            <color indexed="81"/>
            <rFont val="Tahoma"/>
            <family val="2"/>
          </rPr>
          <t>Esquibel, Twyla:</t>
        </r>
        <r>
          <rPr>
            <sz val="9"/>
            <color indexed="81"/>
            <rFont val="Tahoma"/>
            <family val="2"/>
          </rPr>
          <t xml:space="preserve">
Used document FINAL APPROVED CIC BUDGET FY 09</t>
        </r>
      </text>
    </comment>
    <comment ref="T6" authorId="0">
      <text>
        <r>
          <rPr>
            <b/>
            <sz val="9"/>
            <color indexed="81"/>
            <rFont val="Tahoma"/>
            <family val="2"/>
          </rPr>
          <t>Esquibel, Twyla:</t>
        </r>
        <r>
          <rPr>
            <sz val="9"/>
            <color indexed="81"/>
            <rFont val="Tahoma"/>
            <family val="2"/>
          </rPr>
          <t xml:space="preserve">
Used document FIANL_FY 10 Budget File_CIC1 070709</t>
        </r>
      </text>
    </comment>
    <comment ref="W6" authorId="0">
      <text>
        <r>
          <rPr>
            <b/>
            <sz val="9"/>
            <color indexed="81"/>
            <rFont val="Tahoma"/>
            <family val="2"/>
          </rPr>
          <t>Esquibel, Twyla:</t>
        </r>
        <r>
          <rPr>
            <sz val="9"/>
            <color indexed="81"/>
            <rFont val="Tahoma"/>
            <family val="2"/>
          </rPr>
          <t xml:space="preserve">
Used third draftL_FY11 Budget File_CICFINALBUDGET92210</t>
        </r>
      </text>
    </comment>
    <comment ref="Z6" authorId="0">
      <text>
        <r>
          <rPr>
            <b/>
            <sz val="9"/>
            <color indexed="81"/>
            <rFont val="Tahoma"/>
            <family val="2"/>
          </rPr>
          <t>Esquibel, Twyla:</t>
        </r>
        <r>
          <rPr>
            <sz val="9"/>
            <color indexed="81"/>
            <rFont val="Tahoma"/>
            <family val="2"/>
          </rPr>
          <t xml:space="preserve">
Used J:\TwylaEsquibel\BUDGET STUFF\FY 11-12\FINAL BUDGET\FINAL_FY 12 Budget File_CIC
</t>
        </r>
      </text>
    </comment>
    <comment ref="AC6" authorId="0">
      <text>
        <r>
          <rPr>
            <b/>
            <sz val="9"/>
            <color indexed="81"/>
            <rFont val="Tahoma"/>
            <family val="2"/>
          </rPr>
          <t>Esquibel, Twyla:</t>
        </r>
        <r>
          <rPr>
            <sz val="9"/>
            <color indexed="81"/>
            <rFont val="Tahoma"/>
            <family val="2"/>
          </rPr>
          <t xml:space="preserve">
used document:
FINAL-Copy of FY13 Budget File_CIC1-first draft V2 </t>
        </r>
      </text>
    </comment>
    <comment ref="AF6" authorId="0">
      <text>
        <r>
          <rPr>
            <b/>
            <sz val="9"/>
            <color indexed="81"/>
            <rFont val="Tahoma"/>
            <family val="2"/>
          </rPr>
          <t>Esquibel, Twyla:</t>
        </r>
        <r>
          <rPr>
            <sz val="9"/>
            <color indexed="81"/>
            <rFont val="Tahoma"/>
            <family val="2"/>
          </rPr>
          <t xml:space="preserve">
Used:Final FY 14 Budget File CIC w_salaries</t>
        </r>
      </text>
    </comment>
    <comment ref="AI6" authorId="0">
      <text>
        <r>
          <rPr>
            <b/>
            <sz val="9"/>
            <color indexed="81"/>
            <rFont val="Tahoma"/>
            <family val="2"/>
          </rPr>
          <t>Esquibel, Twyla:</t>
        </r>
        <r>
          <rPr>
            <sz val="9"/>
            <color indexed="81"/>
            <rFont val="Tahoma"/>
            <family val="2"/>
          </rPr>
          <t xml:space="preserve">
Used document: 
J:\TwylaEsquibel\BUDGET STUFF\FY 14-15\FINAL &amp; CIC1 Salaries_Benefits 041514</t>
        </r>
      </text>
    </comment>
    <comment ref="AL6" authorId="0">
      <text>
        <r>
          <rPr>
            <b/>
            <sz val="9"/>
            <color indexed="81"/>
            <rFont val="Tahoma"/>
            <family val="2"/>
          </rPr>
          <t>Esquibel, Twyla:</t>
        </r>
        <r>
          <rPr>
            <sz val="9"/>
            <color indexed="81"/>
            <rFont val="Tahoma"/>
            <family val="2"/>
          </rPr>
          <t xml:space="preserve">
Used doc: J:\TwylaEsquibel\BUDGET STUFF\FY 15-16\CIC Staffing Pattern_ 4 22 15</t>
        </r>
      </text>
    </comment>
    <comment ref="AO6" authorId="0">
      <text>
        <r>
          <rPr>
            <b/>
            <sz val="9"/>
            <color indexed="81"/>
            <rFont val="Tahoma"/>
            <family val="2"/>
          </rPr>
          <t>Esquibel, Twyla:</t>
        </r>
        <r>
          <rPr>
            <sz val="9"/>
            <color indexed="81"/>
            <rFont val="Tahoma"/>
            <family val="2"/>
          </rPr>
          <t xml:space="preserve">
used doc" J:\TwylaEsquibel\BUDGET STUFF\FY 16-17\FINAL FY 2017 CIC Budget &amp; Draft FY 17 CIC Staffing Pattern_4 25 16</t>
        </r>
      </text>
    </comment>
    <comment ref="AR6" authorId="0">
      <text>
        <r>
          <rPr>
            <b/>
            <sz val="9"/>
            <color indexed="81"/>
            <rFont val="Tahoma"/>
            <family val="2"/>
          </rPr>
          <t>Esquibel, Twyla:</t>
        </r>
        <r>
          <rPr>
            <sz val="9"/>
            <color indexed="81"/>
            <rFont val="Tahoma"/>
            <family val="2"/>
          </rPr>
          <t xml:space="preserve">
used document: CIC Budget to Actuals FY18_05 11 17</t>
        </r>
      </text>
    </comment>
    <comment ref="N10" authorId="0">
      <text>
        <r>
          <rPr>
            <b/>
            <sz val="9"/>
            <color indexed="81"/>
            <rFont val="Tahoma"/>
            <family val="2"/>
          </rPr>
          <t>Esquibel, Twyla:</t>
        </r>
        <r>
          <rPr>
            <sz val="9"/>
            <color indexed="81"/>
            <rFont val="Tahoma"/>
            <family val="2"/>
          </rPr>
          <t xml:space="preserve">
includes supplemental memo 7 18 2007</t>
        </r>
      </text>
    </comment>
    <comment ref="AF25" authorId="0">
      <text>
        <r>
          <rPr>
            <b/>
            <sz val="9"/>
            <color indexed="81"/>
            <rFont val="Tahoma"/>
            <family val="2"/>
          </rPr>
          <t>Esquibel, Twyla:</t>
        </r>
        <r>
          <rPr>
            <sz val="9"/>
            <color indexed="81"/>
            <rFont val="Tahoma"/>
            <family val="2"/>
          </rPr>
          <t xml:space="preserve">
DOC</t>
        </r>
      </text>
    </comment>
    <comment ref="AI25" authorId="0">
      <text>
        <r>
          <rPr>
            <b/>
            <sz val="9"/>
            <color indexed="81"/>
            <rFont val="Tahoma"/>
            <family val="2"/>
          </rPr>
          <t>Esquibel, Twyla:</t>
        </r>
        <r>
          <rPr>
            <sz val="9"/>
            <color indexed="81"/>
            <rFont val="Tahoma"/>
            <family val="2"/>
          </rPr>
          <t xml:space="preserve">
DOC</t>
        </r>
      </text>
    </comment>
    <comment ref="AL25" authorId="0">
      <text>
        <r>
          <rPr>
            <b/>
            <sz val="9"/>
            <color indexed="81"/>
            <rFont val="Tahoma"/>
            <family val="2"/>
          </rPr>
          <t>Esquibel, Twyla:</t>
        </r>
        <r>
          <rPr>
            <sz val="9"/>
            <color indexed="81"/>
            <rFont val="Tahoma"/>
            <family val="2"/>
          </rPr>
          <t xml:space="preserve">
DOC</t>
        </r>
      </text>
    </comment>
    <comment ref="AO25" authorId="0">
      <text>
        <r>
          <rPr>
            <b/>
            <sz val="9"/>
            <color indexed="81"/>
            <rFont val="Tahoma"/>
            <family val="2"/>
          </rPr>
          <t>Esquibel, Twyla:</t>
        </r>
        <r>
          <rPr>
            <sz val="9"/>
            <color indexed="81"/>
            <rFont val="Tahoma"/>
            <family val="2"/>
          </rPr>
          <t xml:space="preserve">
DOC</t>
        </r>
      </text>
    </comment>
    <comment ref="AR25" authorId="0">
      <text>
        <r>
          <rPr>
            <b/>
            <sz val="9"/>
            <color indexed="81"/>
            <rFont val="Tahoma"/>
            <family val="2"/>
          </rPr>
          <t>Esquibel, Twyla:</t>
        </r>
        <r>
          <rPr>
            <sz val="9"/>
            <color indexed="81"/>
            <rFont val="Tahoma"/>
            <family val="2"/>
          </rPr>
          <t xml:space="preserve">
DOC</t>
        </r>
      </text>
    </comment>
    <comment ref="AU25" authorId="0">
      <text>
        <r>
          <rPr>
            <b/>
            <sz val="9"/>
            <color indexed="81"/>
            <rFont val="Tahoma"/>
            <family val="2"/>
          </rPr>
          <t>Esquibel, Twyla:</t>
        </r>
        <r>
          <rPr>
            <sz val="9"/>
            <color indexed="81"/>
            <rFont val="Tahoma"/>
            <family val="2"/>
          </rPr>
          <t xml:space="preserve">
DOC</t>
        </r>
      </text>
    </comment>
    <comment ref="AX25" authorId="0">
      <text>
        <r>
          <rPr>
            <b/>
            <sz val="9"/>
            <color indexed="81"/>
            <rFont val="Tahoma"/>
            <family val="2"/>
          </rPr>
          <t>Esquibel, Twyla:</t>
        </r>
        <r>
          <rPr>
            <sz val="9"/>
            <color indexed="81"/>
            <rFont val="Tahoma"/>
            <family val="2"/>
          </rPr>
          <t xml:space="preserve">
DOC</t>
        </r>
      </text>
    </comment>
    <comment ref="AO26" authorId="0">
      <text>
        <r>
          <rPr>
            <b/>
            <sz val="9"/>
            <color indexed="81"/>
            <rFont val="Tahoma"/>
            <family val="2"/>
          </rPr>
          <t>Esquibel, Twyla:</t>
        </r>
        <r>
          <rPr>
            <sz val="9"/>
            <color indexed="81"/>
            <rFont val="Tahoma"/>
            <family val="2"/>
          </rPr>
          <t xml:space="preserve">
FOSTER Grant</t>
        </r>
      </text>
    </comment>
    <comment ref="AR26" authorId="0">
      <text>
        <r>
          <rPr>
            <b/>
            <sz val="9"/>
            <color indexed="81"/>
            <rFont val="Tahoma"/>
            <family val="2"/>
          </rPr>
          <t>Esquibel, Twyla:</t>
        </r>
        <r>
          <rPr>
            <sz val="9"/>
            <color indexed="81"/>
            <rFont val="Tahoma"/>
            <family val="2"/>
          </rPr>
          <t xml:space="preserve">
FOSTER Grant</t>
        </r>
      </text>
    </comment>
    <comment ref="AL29" authorId="0">
      <text>
        <r>
          <rPr>
            <b/>
            <sz val="9"/>
            <color indexed="81"/>
            <rFont val="Tahoma"/>
            <family val="2"/>
          </rPr>
          <t>Esquibel, Twyla:</t>
        </r>
        <r>
          <rPr>
            <sz val="9"/>
            <color indexed="81"/>
            <rFont val="Tahoma"/>
            <family val="2"/>
          </rPr>
          <t xml:space="preserve">
ETPL (CDLE)
</t>
        </r>
      </text>
    </comment>
    <comment ref="AO29" authorId="0">
      <text>
        <r>
          <rPr>
            <b/>
            <sz val="9"/>
            <color indexed="81"/>
            <rFont val="Tahoma"/>
            <family val="2"/>
          </rPr>
          <t>Esquibel, Twyla:</t>
        </r>
        <r>
          <rPr>
            <sz val="9"/>
            <color indexed="81"/>
            <rFont val="Tahoma"/>
            <family val="2"/>
          </rPr>
          <t xml:space="preserve">
ETPL (CDLE)
</t>
        </r>
      </text>
    </comment>
    <comment ref="AR29" authorId="0">
      <text>
        <r>
          <rPr>
            <b/>
            <sz val="9"/>
            <color indexed="81"/>
            <rFont val="Tahoma"/>
            <family val="2"/>
          </rPr>
          <t>Esquibel, Twyla:</t>
        </r>
        <r>
          <rPr>
            <sz val="9"/>
            <color indexed="81"/>
            <rFont val="Tahoma"/>
            <family val="2"/>
          </rPr>
          <t xml:space="preserve">
ETPL (CDLE)</t>
        </r>
      </text>
    </comment>
    <comment ref="AU29" authorId="0">
      <text>
        <r>
          <rPr>
            <b/>
            <sz val="9"/>
            <color indexed="81"/>
            <rFont val="Tahoma"/>
            <family val="2"/>
          </rPr>
          <t>Esquibel, Twyla:</t>
        </r>
        <r>
          <rPr>
            <sz val="9"/>
            <color indexed="81"/>
            <rFont val="Tahoma"/>
            <family val="2"/>
          </rPr>
          <t xml:space="preserve">
ETPL (CDLE)</t>
        </r>
      </text>
    </comment>
    <comment ref="AL30" authorId="0">
      <text>
        <r>
          <rPr>
            <b/>
            <sz val="9"/>
            <color indexed="81"/>
            <rFont val="Tahoma"/>
            <family val="2"/>
          </rPr>
          <t>Esquibel, Twyla:</t>
        </r>
        <r>
          <rPr>
            <sz val="9"/>
            <color indexed="81"/>
            <rFont val="Tahoma"/>
            <family val="2"/>
          </rPr>
          <t xml:space="preserve">
1274 </t>
        </r>
      </text>
    </comment>
    <comment ref="AO30" authorId="0">
      <text>
        <r>
          <rPr>
            <b/>
            <sz val="9"/>
            <color indexed="81"/>
            <rFont val="Tahoma"/>
            <family val="2"/>
          </rPr>
          <t>Esquibel, Twyla:</t>
        </r>
        <r>
          <rPr>
            <sz val="9"/>
            <color indexed="81"/>
            <rFont val="Tahoma"/>
            <family val="2"/>
          </rPr>
          <t xml:space="preserve">
Career Pathways</t>
        </r>
      </text>
    </comment>
    <comment ref="AC31" authorId="0">
      <text>
        <r>
          <rPr>
            <b/>
            <sz val="9"/>
            <color indexed="81"/>
            <rFont val="Tahoma"/>
            <family val="2"/>
          </rPr>
          <t>Esquibel, Twyla:</t>
        </r>
        <r>
          <rPr>
            <sz val="9"/>
            <color indexed="81"/>
            <rFont val="Tahoma"/>
            <family val="2"/>
          </rPr>
          <t xml:space="preserve">
JAG for OYF</t>
        </r>
      </text>
    </comment>
    <comment ref="AF32" authorId="0">
      <text>
        <r>
          <rPr>
            <b/>
            <sz val="9"/>
            <color indexed="81"/>
            <rFont val="Tahoma"/>
            <family val="2"/>
          </rPr>
          <t>Esquibel, Twyla:</t>
        </r>
        <r>
          <rPr>
            <sz val="9"/>
            <color indexed="81"/>
            <rFont val="Tahoma"/>
            <family val="2"/>
          </rPr>
          <t xml:space="preserve">
USED DOCUMENT:CIC Budget PCC CCCS and Kuder Budget.xlsx
CHEO Grant (PCC) Health development phase</t>
        </r>
      </text>
    </comment>
    <comment ref="AI32" authorId="0">
      <text>
        <r>
          <rPr>
            <b/>
            <sz val="9"/>
            <color indexed="81"/>
            <rFont val="Tahoma"/>
            <family val="2"/>
          </rPr>
          <t>Esquibel, Twyla:</t>
        </r>
        <r>
          <rPr>
            <sz val="9"/>
            <color indexed="81"/>
            <rFont val="Tahoma"/>
            <family val="2"/>
          </rPr>
          <t xml:space="preserve">
CHEO Grant (PCC) Health </t>
        </r>
      </text>
    </comment>
    <comment ref="AL32" authorId="0">
      <text>
        <r>
          <rPr>
            <b/>
            <sz val="9"/>
            <color indexed="81"/>
            <rFont val="Tahoma"/>
            <family val="2"/>
          </rPr>
          <t>Esquibel, Twyla:</t>
        </r>
        <r>
          <rPr>
            <sz val="9"/>
            <color indexed="81"/>
            <rFont val="Tahoma"/>
            <family val="2"/>
          </rPr>
          <t xml:space="preserve">
Heath Hub</t>
        </r>
      </text>
    </comment>
    <comment ref="AF33" authorId="0">
      <text>
        <r>
          <rPr>
            <b/>
            <sz val="9"/>
            <color indexed="81"/>
            <rFont val="Tahoma"/>
            <family val="2"/>
          </rPr>
          <t>Esquibel, Twyla:</t>
        </r>
        <r>
          <rPr>
            <sz val="9"/>
            <color indexed="81"/>
            <rFont val="Tahoma"/>
            <family val="2"/>
          </rPr>
          <t xml:space="preserve">
CHEO Grant (CCCS) Energy development phase</t>
        </r>
      </text>
    </comment>
    <comment ref="AI33" authorId="0">
      <text>
        <r>
          <rPr>
            <b/>
            <sz val="9"/>
            <color indexed="81"/>
            <rFont val="Tahoma"/>
            <family val="2"/>
          </rPr>
          <t>Esquibel, Twyla:</t>
        </r>
        <r>
          <rPr>
            <sz val="9"/>
            <color indexed="81"/>
            <rFont val="Tahoma"/>
            <family val="2"/>
          </rPr>
          <t xml:space="preserve">
CHEO Grant (CCCS) Energy. -$16,093 Amount NOT reimbursed by CCCS for FY2015 paid by CIC</t>
        </r>
      </text>
    </comment>
    <comment ref="AL33" authorId="0">
      <text>
        <r>
          <rPr>
            <b/>
            <sz val="9"/>
            <color indexed="81"/>
            <rFont val="Tahoma"/>
            <family val="2"/>
          </rPr>
          <t>Esquibel, Twyla:</t>
        </r>
        <r>
          <rPr>
            <sz val="9"/>
            <color indexed="81"/>
            <rFont val="Tahoma"/>
            <family val="2"/>
          </rPr>
          <t xml:space="preserve">
CHEO Grant (CCCS) Energy </t>
        </r>
      </text>
    </comment>
    <comment ref="AI34" authorId="0">
      <text>
        <r>
          <rPr>
            <b/>
            <sz val="9"/>
            <color indexed="81"/>
            <rFont val="Tahoma"/>
            <family val="2"/>
          </rPr>
          <t>Esquibel, Twyla:</t>
        </r>
        <r>
          <rPr>
            <sz val="9"/>
            <color indexed="81"/>
            <rFont val="Tahoma"/>
            <family val="2"/>
          </rPr>
          <t xml:space="preserve">
CAT money from DHE? was this invoice paid?</t>
        </r>
      </text>
    </comment>
    <comment ref="K38" authorId="0">
      <text>
        <r>
          <rPr>
            <b/>
            <sz val="9"/>
            <color indexed="81"/>
            <rFont val="Tahoma"/>
            <family val="2"/>
          </rPr>
          <t>Esquibel, Twyla:</t>
        </r>
        <r>
          <rPr>
            <sz val="9"/>
            <color indexed="81"/>
            <rFont val="Tahoma"/>
            <family val="2"/>
          </rPr>
          <t xml:space="preserve">
Daniel's Fund Book Scholarship?</t>
        </r>
      </text>
    </comment>
    <comment ref="N38" authorId="0">
      <text>
        <r>
          <rPr>
            <b/>
            <sz val="9"/>
            <color indexed="81"/>
            <rFont val="Tahoma"/>
            <family val="2"/>
          </rPr>
          <t>Esquibel, Twyla:</t>
        </r>
        <r>
          <rPr>
            <sz val="9"/>
            <color indexed="81"/>
            <rFont val="Tahoma"/>
            <family val="2"/>
          </rPr>
          <t xml:space="preserve">
Daniel's Fund Book Scholarship?</t>
        </r>
      </text>
    </comment>
    <comment ref="Q39" authorId="0">
      <text>
        <r>
          <rPr>
            <b/>
            <sz val="9"/>
            <color indexed="81"/>
            <rFont val="Tahoma"/>
            <family val="2"/>
          </rPr>
          <t>Esquibel, Twyla:</t>
        </r>
        <r>
          <rPr>
            <sz val="9"/>
            <color indexed="81"/>
            <rFont val="Tahoma"/>
            <family val="2"/>
          </rPr>
          <t xml:space="preserve">
El Pomar?</t>
        </r>
      </text>
    </comment>
    <comment ref="H40" authorId="0">
      <text>
        <r>
          <rPr>
            <b/>
            <sz val="9"/>
            <color indexed="81"/>
            <rFont val="Tahoma"/>
            <family val="2"/>
          </rPr>
          <t>Esquibel, Twyla:</t>
        </r>
        <r>
          <rPr>
            <sz val="9"/>
            <color indexed="81"/>
            <rFont val="Tahoma"/>
            <family val="2"/>
          </rPr>
          <t xml:space="preserve">
The Fund for Colorado's Future-Jenna Langer or Terry Rayburn?</t>
        </r>
      </text>
    </comment>
    <comment ref="Q41" authorId="0">
      <text>
        <r>
          <rPr>
            <b/>
            <sz val="9"/>
            <color indexed="81"/>
            <rFont val="Tahoma"/>
            <family val="2"/>
          </rPr>
          <t>Esquibel, Twyla:</t>
        </r>
        <r>
          <rPr>
            <sz val="9"/>
            <color indexed="81"/>
            <rFont val="Tahoma"/>
            <family val="2"/>
          </rPr>
          <t xml:space="preserve">
CCCS Counselor Training and materials 
</t>
        </r>
      </text>
    </comment>
    <comment ref="T41" authorId="0">
      <text>
        <r>
          <rPr>
            <b/>
            <sz val="9"/>
            <color indexed="81"/>
            <rFont val="Tahoma"/>
            <family val="2"/>
          </rPr>
          <t>Esquibel, Twyla:</t>
        </r>
        <r>
          <rPr>
            <sz val="9"/>
            <color indexed="81"/>
            <rFont val="Tahoma"/>
            <family val="2"/>
          </rPr>
          <t xml:space="preserve">
CCCS Counselor Training and materials 
</t>
        </r>
      </text>
    </comment>
    <comment ref="Q42" authorId="0">
      <text>
        <r>
          <rPr>
            <b/>
            <sz val="9"/>
            <color indexed="81"/>
            <rFont val="Tahoma"/>
            <family val="2"/>
          </rPr>
          <t>Esquibel, Twyla:</t>
        </r>
        <r>
          <rPr>
            <sz val="9"/>
            <color indexed="81"/>
            <rFont val="Tahoma"/>
            <family val="2"/>
          </rPr>
          <t xml:space="preserve">
Colorado Institute of Technology (CIT)
</t>
        </r>
      </text>
    </comment>
    <comment ref="B43" authorId="0">
      <text>
        <r>
          <rPr>
            <b/>
            <sz val="9"/>
            <color indexed="81"/>
            <rFont val="Tahoma"/>
            <family val="2"/>
          </rPr>
          <t>Esquibel, Twyla:</t>
        </r>
        <r>
          <rPr>
            <sz val="9"/>
            <color indexed="81"/>
            <rFont val="Tahoma"/>
            <family val="2"/>
          </rPr>
          <t xml:space="preserve">
?</t>
        </r>
      </text>
    </comment>
    <comment ref="E43" authorId="0">
      <text>
        <r>
          <rPr>
            <b/>
            <sz val="9"/>
            <color indexed="81"/>
            <rFont val="Tahoma"/>
            <family val="2"/>
          </rPr>
          <t>Esquibel, Twyla:</t>
        </r>
        <r>
          <rPr>
            <sz val="9"/>
            <color indexed="81"/>
            <rFont val="Tahoma"/>
            <family val="2"/>
          </rPr>
          <t xml:space="preserve">
?</t>
        </r>
      </text>
    </comment>
    <comment ref="H43" authorId="0">
      <text>
        <r>
          <rPr>
            <b/>
            <sz val="9"/>
            <color indexed="81"/>
            <rFont val="Tahoma"/>
            <family val="2"/>
          </rPr>
          <t>Esquibel, Twyla:</t>
        </r>
        <r>
          <rPr>
            <sz val="9"/>
            <color indexed="81"/>
            <rFont val="Tahoma"/>
            <family val="2"/>
          </rPr>
          <t xml:space="preserve">
?</t>
        </r>
      </text>
    </comment>
    <comment ref="K44" authorId="0">
      <text>
        <r>
          <rPr>
            <b/>
            <sz val="9"/>
            <color indexed="81"/>
            <rFont val="Tahoma"/>
            <family val="2"/>
          </rPr>
          <t>Esquibel, Twyla:</t>
        </r>
        <r>
          <rPr>
            <sz val="9"/>
            <color indexed="81"/>
            <rFont val="Tahoma"/>
            <family val="2"/>
          </rPr>
          <t xml:space="preserve">
Nelnet</t>
        </r>
      </text>
    </comment>
    <comment ref="N44" authorId="0">
      <text>
        <r>
          <rPr>
            <b/>
            <sz val="9"/>
            <color indexed="81"/>
            <rFont val="Tahoma"/>
            <family val="2"/>
          </rPr>
          <t>Esquibel, Twyla:</t>
        </r>
        <r>
          <rPr>
            <sz val="9"/>
            <color indexed="81"/>
            <rFont val="Tahoma"/>
            <family val="2"/>
          </rPr>
          <t xml:space="preserve">
Nelnet</t>
        </r>
      </text>
    </comment>
    <comment ref="Q44" authorId="0">
      <text>
        <r>
          <rPr>
            <b/>
            <sz val="9"/>
            <color indexed="81"/>
            <rFont val="Tahoma"/>
            <family val="2"/>
          </rPr>
          <t>Esquibel, Twyla:</t>
        </r>
        <r>
          <rPr>
            <sz val="9"/>
            <color indexed="81"/>
            <rFont val="Tahoma"/>
            <family val="2"/>
          </rPr>
          <t xml:space="preserve">
Nelnet Reim</t>
        </r>
      </text>
    </comment>
    <comment ref="Q45" authorId="0">
      <text>
        <r>
          <rPr>
            <b/>
            <sz val="9"/>
            <color indexed="81"/>
            <rFont val="Tahoma"/>
            <family val="2"/>
          </rPr>
          <t>Esquibel, Twyla:</t>
        </r>
        <r>
          <rPr>
            <sz val="9"/>
            <color indexed="81"/>
            <rFont val="Tahoma"/>
            <family val="2"/>
          </rPr>
          <t xml:space="preserve">
CI &amp; DHE-1027 &amp; 1057 letters</t>
        </r>
      </text>
    </comment>
    <comment ref="W50" authorId="0">
      <text>
        <r>
          <rPr>
            <b/>
            <sz val="9"/>
            <color indexed="81"/>
            <rFont val="Tahoma"/>
            <family val="2"/>
          </rPr>
          <t>Esquibel, Twyla:</t>
        </r>
        <r>
          <rPr>
            <sz val="9"/>
            <color indexed="81"/>
            <rFont val="Tahoma"/>
            <family val="2"/>
          </rPr>
          <t xml:space="preserve">
CACG / Advancer 
</t>
        </r>
      </text>
    </comment>
    <comment ref="Z50" authorId="0">
      <text>
        <r>
          <rPr>
            <b/>
            <sz val="9"/>
            <color indexed="81"/>
            <rFont val="Tahoma"/>
            <family val="2"/>
          </rPr>
          <t>Esquibel, Twyla:</t>
        </r>
        <r>
          <rPr>
            <sz val="9"/>
            <color indexed="81"/>
            <rFont val="Tahoma"/>
            <family val="2"/>
          </rPr>
          <t xml:space="preserve">
$160K for CIC website for Advancer. Mike would administer this grant, not sure how much additional funds were given to CIC. </t>
        </r>
      </text>
    </comment>
    <comment ref="AA50" authorId="0">
      <text>
        <r>
          <rPr>
            <b/>
            <sz val="9"/>
            <color indexed="81"/>
            <rFont val="Tahoma"/>
            <family val="2"/>
          </rPr>
          <t>Esquibel, Twyla:</t>
        </r>
        <r>
          <rPr>
            <sz val="9"/>
            <color indexed="81"/>
            <rFont val="Tahoma"/>
            <family val="2"/>
          </rPr>
          <t xml:space="preserve">
This was handled thru DHE</t>
        </r>
      </text>
    </comment>
    <comment ref="AC50" authorId="0">
      <text>
        <r>
          <rPr>
            <b/>
            <sz val="9"/>
            <color indexed="81"/>
            <rFont val="Tahoma"/>
            <family val="2"/>
          </rPr>
          <t xml:space="preserve">Esquibel, Twyla:
</t>
        </r>
        <r>
          <rPr>
            <sz val="9"/>
            <color indexed="81"/>
            <rFont val="Tahoma"/>
            <family val="2"/>
          </rPr>
          <t>$266,666  for CIC website for Advancer. Mike would administer this grant, not sure how much additional funds were given to CIC.</t>
        </r>
      </text>
    </comment>
    <comment ref="AD50" authorId="0">
      <text>
        <r>
          <rPr>
            <b/>
            <sz val="9"/>
            <color indexed="81"/>
            <rFont val="Tahoma"/>
            <family val="2"/>
          </rPr>
          <t>Esquibel, Twyla:</t>
        </r>
        <r>
          <rPr>
            <sz val="9"/>
            <color indexed="81"/>
            <rFont val="Tahoma"/>
            <family val="2"/>
          </rPr>
          <t xml:space="preserve">
Aker, Dave
Burciaga, Jamie
Czarnecki, Matthew
Gonzales, Christian
Navarrete, Brenda
Trejo, Brianna
Rivera, Maria Elena
</t>
        </r>
      </text>
    </comment>
    <comment ref="AF50" authorId="0">
      <text>
        <r>
          <rPr>
            <b/>
            <sz val="9"/>
            <color indexed="81"/>
            <rFont val="Tahoma"/>
            <family val="2"/>
          </rPr>
          <t xml:space="preserve">Esquibel, Twyla
</t>
        </r>
        <r>
          <rPr>
            <sz val="9"/>
            <color indexed="81"/>
            <rFont val="Tahoma"/>
            <family val="2"/>
          </rPr>
          <t xml:space="preserve">$160K for CIC website for Advancer. Mike would administer this grant, not sure how much additional funds were given to CIC. 
</t>
        </r>
      </text>
    </comment>
    <comment ref="AG50" authorId="0">
      <text>
        <r>
          <rPr>
            <b/>
            <sz val="9"/>
            <color indexed="81"/>
            <rFont val="Tahoma"/>
            <family val="2"/>
          </rPr>
          <t>Esquibel, Twyla:</t>
        </r>
        <r>
          <rPr>
            <sz val="9"/>
            <color indexed="81"/>
            <rFont val="Tahoma"/>
            <family val="2"/>
          </rPr>
          <t xml:space="preserve">
Aker, Dave
Burciaga, Jamie
Czarnecki, Matthew
Gonzales, Christian
Navarrete, Brenda
Trejo, Blanca
Rivera, Maria Elena
</t>
        </r>
      </text>
    </comment>
    <comment ref="AI50" authorId="0">
      <text>
        <r>
          <rPr>
            <b/>
            <sz val="9"/>
            <color indexed="81"/>
            <rFont val="Tahoma"/>
            <family val="2"/>
          </rPr>
          <t>Esquibel, Twyla:</t>
        </r>
        <r>
          <rPr>
            <sz val="9"/>
            <color indexed="81"/>
            <rFont val="Tahoma"/>
            <family val="2"/>
          </rPr>
          <t xml:space="preserve">
Challenger Grant DHE. $160K for CIC website for Advancer. Mike would administer this grant, not sure how much additional funds were given to CIC. </t>
        </r>
      </text>
    </comment>
    <comment ref="AJ50" authorId="0">
      <text>
        <r>
          <rPr>
            <b/>
            <sz val="9"/>
            <color indexed="81"/>
            <rFont val="Tahoma"/>
            <family val="2"/>
          </rPr>
          <t xml:space="preserve">Esquibel, Twyla:
</t>
        </r>
        <r>
          <rPr>
            <sz val="9"/>
            <color indexed="81"/>
            <rFont val="Tahoma"/>
            <family val="2"/>
          </rPr>
          <t>Aker, Dave
Burciaga, Jamie
Czarnecki, Matthew
Gonzales, Christian
Navarrete, Brenda
Trejo, Blanca
Rivera, Maria Elena
6 mos. Each FTE</t>
        </r>
      </text>
    </comment>
    <comment ref="AF54" authorId="0">
      <text>
        <r>
          <rPr>
            <b/>
            <sz val="9"/>
            <color indexed="81"/>
            <rFont val="Tahoma"/>
            <family val="2"/>
          </rPr>
          <t>Esquibel, Twyla:</t>
        </r>
        <r>
          <rPr>
            <sz val="9"/>
            <color indexed="81"/>
            <rFont val="Tahoma"/>
            <family val="2"/>
          </rPr>
          <t xml:space="preserve">
On budget doc. We estimated 1,292,000 in revenue.</t>
        </r>
      </text>
    </comment>
    <comment ref="AI54" authorId="0">
      <text>
        <r>
          <rPr>
            <b/>
            <sz val="9"/>
            <color indexed="81"/>
            <rFont val="Tahoma"/>
            <family val="2"/>
          </rPr>
          <t>Esquibel, Twyla:</t>
        </r>
        <r>
          <rPr>
            <sz val="9"/>
            <color indexed="81"/>
            <rFont val="Tahoma"/>
            <family val="2"/>
          </rPr>
          <t xml:space="preserve">
On budget doc. We estimated 1,671,500  in revenue.</t>
        </r>
      </text>
    </comment>
    <comment ref="AL54" authorId="0">
      <text>
        <r>
          <rPr>
            <b/>
            <sz val="9"/>
            <color indexed="81"/>
            <rFont val="Tahoma"/>
            <family val="2"/>
          </rPr>
          <t>Esquibel, Twyla:</t>
        </r>
        <r>
          <rPr>
            <sz val="9"/>
            <color indexed="81"/>
            <rFont val="Tahoma"/>
            <family val="2"/>
          </rPr>
          <t xml:space="preserve">
On budget doc. We estimated $250K  in revenue other sources and $1,734,302 from CA</t>
        </r>
      </text>
    </comment>
    <comment ref="AO54" authorId="0">
      <text>
        <r>
          <rPr>
            <b/>
            <sz val="9"/>
            <color indexed="81"/>
            <rFont val="Tahoma"/>
            <family val="2"/>
          </rPr>
          <t>Esquibel, Twyla:</t>
        </r>
        <r>
          <rPr>
            <sz val="9"/>
            <color indexed="81"/>
            <rFont val="Tahoma"/>
            <family val="2"/>
          </rPr>
          <t xml:space="preserve">
On budget doc. We estimated $250K  in revenue other sources and $1,734,302 from CA</t>
        </r>
      </text>
    </comment>
  </commentList>
</comments>
</file>

<file path=xl/sharedStrings.xml><?xml version="1.0" encoding="utf-8"?>
<sst xmlns="http://schemas.openxmlformats.org/spreadsheetml/2006/main" count="6840" uniqueCount="1983">
  <si>
    <t>Timeframe: July 1, 2016 to June 30, 2017</t>
  </si>
  <si>
    <t>Pageviews</t>
  </si>
  <si>
    <t>Unique Pageviews</t>
  </si>
  <si>
    <t>Note that OYF requires account creation and log in to use. Use shown here does not include use within prison facilities.</t>
  </si>
  <si>
    <t>TOP OWN YOUR FUTURE PAGES</t>
  </si>
  <si>
    <t>Back to school &gt; Financial Aid</t>
  </si>
  <si>
    <t>Welcome (videos, resources)</t>
  </si>
  <si>
    <t>Your Work &gt; Finding a Job</t>
  </si>
  <si>
    <t>Back to School &gt; Complete High School</t>
  </si>
  <si>
    <t>Your Life &gt; A Place to Live &gt; Housing Options</t>
  </si>
  <si>
    <t>Your Life &gt; Getting Around &gt; How to Get Around</t>
  </si>
  <si>
    <t>Your Life &gt; Your People &gt; Your Support Network</t>
  </si>
  <si>
    <t xml:space="preserve">Your Life &gt; Your People  </t>
  </si>
  <si>
    <t>Your Life &gt; A Place to Live</t>
  </si>
  <si>
    <t>Your Life &gt; Your Money</t>
  </si>
  <si>
    <t xml:space="preserve">Your Life &gt; Getting Around  </t>
  </si>
  <si>
    <t>Your Life &gt; Your Time</t>
  </si>
  <si>
    <t>Your Work &gt; Getting the Job</t>
  </si>
  <si>
    <t>Your Work &gt; Planning Your Career</t>
  </si>
  <si>
    <t>Back to School &gt; Education Pays</t>
  </si>
  <si>
    <t>Your Life</t>
  </si>
  <si>
    <t>Default/Home</t>
  </si>
  <si>
    <t>Back to School</t>
  </si>
  <si>
    <t>How to Own Your Future &gt; Intake Assessment</t>
  </si>
  <si>
    <t>Your Work</t>
  </si>
  <si>
    <t>Back to School &gt; Complete High School &gt; Get Your GED &gt; Get Ready for the Test</t>
  </si>
  <si>
    <t>Back to School &gt; Complete High School &gt; Get Your GED &gt; Make Sure you Qualify</t>
  </si>
  <si>
    <t>Your Life &gt; A Place to Live &gt; Your Housing Options</t>
  </si>
  <si>
    <t>Back to School &gt; Complete High School &gt; Get Your GED</t>
  </si>
  <si>
    <t>Back to School &gt; Complete High School &gt; Get Your GED &gt; Find a Place to Write the GED</t>
  </si>
  <si>
    <t>Page Title</t>
  </si>
  <si>
    <t>TOP COLLEGE IN COLORADO PAGES</t>
  </si>
  <si>
    <t>Home</t>
  </si>
  <si>
    <t>Career Profile</t>
  </si>
  <si>
    <t>Your Plan of Study</t>
  </si>
  <si>
    <t>Career Cluster Survey</t>
  </si>
  <si>
    <t>Scholarship Finder</t>
  </si>
  <si>
    <t>Interest Profiler</t>
  </si>
  <si>
    <t>Portfolio Index</t>
  </si>
  <si>
    <t>Customized Local Portfolio Plan (ICAP) Page</t>
  </si>
  <si>
    <t>Career Cluster Profile</t>
  </si>
  <si>
    <t>Career Planning</t>
  </si>
  <si>
    <t>Sign In</t>
  </si>
  <si>
    <t>Basic Skills Survey</t>
  </si>
  <si>
    <t>Transferable Skills Checklist</t>
  </si>
  <si>
    <t>Learn About Yourself</t>
  </si>
  <si>
    <t>Resume Builder</t>
  </si>
  <si>
    <t>Career Key assessment</t>
  </si>
  <si>
    <t>Create an Account</t>
  </si>
  <si>
    <t>School Profile</t>
  </si>
  <si>
    <t>Explore Careers</t>
  </si>
  <si>
    <t>Career Finder query builder</t>
  </si>
  <si>
    <t>Explore Programs and Majors</t>
  </si>
  <si>
    <t>Note these stats do not include Own Your Future, Money101, College Admissions Tool or other related sites</t>
  </si>
  <si>
    <t>Self Exploration, Assessments</t>
  </si>
  <si>
    <t>Postsecondary Planning</t>
  </si>
  <si>
    <t>Career and Academic Planning</t>
  </si>
  <si>
    <t>Job Preparation</t>
  </si>
  <si>
    <t>Portfolio and Account Access</t>
  </si>
  <si>
    <t>Pageviews by category</t>
  </si>
  <si>
    <t>Top Pageview total</t>
  </si>
  <si>
    <t>Total Pageviews during timeframe</t>
  </si>
  <si>
    <t>Career Exploration</t>
  </si>
  <si>
    <t>Sessions</t>
  </si>
  <si>
    <t xml:space="preserve">Pageviews </t>
  </si>
  <si>
    <t>Jul</t>
  </si>
  <si>
    <t>X</t>
  </si>
  <si>
    <t>Aug</t>
  </si>
  <si>
    <t>Sep</t>
  </si>
  <si>
    <t>Oct</t>
  </si>
  <si>
    <t>Nov</t>
  </si>
  <si>
    <t>Dec</t>
  </si>
  <si>
    <t>Jan</t>
  </si>
  <si>
    <t>Feb</t>
  </si>
  <si>
    <t>Mar</t>
  </si>
  <si>
    <t>Apr</t>
  </si>
  <si>
    <t>May</t>
  </si>
  <si>
    <t>Jun</t>
  </si>
  <si>
    <t>Total</t>
  </si>
  <si>
    <t>CAREERS IN COLORADO STATS</t>
  </si>
  <si>
    <t>Website launched in March, 2017</t>
  </si>
  <si>
    <t>Source: https://analytics.google.com</t>
  </si>
  <si>
    <t>2016/17</t>
  </si>
  <si>
    <t>CIC PROFESSIONAL CENTER</t>
  </si>
  <si>
    <r>
      <t xml:space="preserve">Note this is the website </t>
    </r>
    <r>
      <rPr>
        <i/>
        <sz val="12"/>
        <rFont val="Calibri"/>
        <family val="2"/>
        <scheme val="minor"/>
      </rPr>
      <t>not</t>
    </r>
    <r>
      <rPr>
        <sz val="12"/>
        <rFont val="Calibri"/>
        <family val="2"/>
        <scheme val="minor"/>
      </rPr>
      <t xml:space="preserve"> the associated career pathway modules</t>
    </r>
  </si>
  <si>
    <t>Usage - Google Analytics</t>
  </si>
  <si>
    <t>Account Statistics</t>
  </si>
  <si>
    <t>Users</t>
  </si>
  <si>
    <t>Accounts Created</t>
  </si>
  <si>
    <t>Sum Monthly Active Accts</t>
  </si>
  <si>
    <t>Average usage per year, last three years</t>
  </si>
  <si>
    <t>Average accounts created and active per year</t>
  </si>
  <si>
    <t>FY2002</t>
  </si>
  <si>
    <t>(deployed August 02)</t>
  </si>
  <si>
    <t>FY2003</t>
  </si>
  <si>
    <t>FY2004</t>
  </si>
  <si>
    <t>FY2005</t>
  </si>
  <si>
    <t>Avg FY2015-17</t>
  </si>
  <si>
    <t>Last three fiscal years</t>
  </si>
  <si>
    <t>CDE Classification</t>
  </si>
  <si>
    <t>Remote</t>
  </si>
  <si>
    <t>Outlying Town</t>
  </si>
  <si>
    <t>Outlying City</t>
  </si>
  <si>
    <t>Urban-Suburban</t>
  </si>
  <si>
    <t>Denver Metro</t>
  </si>
  <si>
    <t>Pupil Count</t>
  </si>
  <si>
    <t>Range Accounts to Pupil Count</t>
  </si>
  <si>
    <t>90% or more</t>
  </si>
  <si>
    <t>Manitou Springs 14, Pueblo City 60</t>
  </si>
  <si>
    <t>Adams 14, Westminster</t>
  </si>
  <si>
    <t>70% to 89%</t>
  </si>
  <si>
    <t>CO School for Deaf and Blind</t>
  </si>
  <si>
    <t>50% to 69%</t>
  </si>
  <si>
    <t>Charter School Inst., Colorado Springs 11, Mesa 51</t>
  </si>
  <si>
    <t>Boulder Valley, St. Vrain Valley, Littleton</t>
  </si>
  <si>
    <t>Rural</t>
  </si>
  <si>
    <t>Urban</t>
  </si>
  <si>
    <t>Districts Served</t>
  </si>
  <si>
    <t>33% to 49%</t>
  </si>
  <si>
    <t>Falcon 49, Harrison</t>
  </si>
  <si>
    <t>Adams 12, Denver, Mapleton</t>
  </si>
  <si>
    <t>10% to 32%</t>
  </si>
  <si>
    <t>Academy 20, Fountain, Greeley, Poudre, Pueblo 70, Widefield</t>
  </si>
  <si>
    <t>Cherry Creek, Douglas, Sheridan</t>
  </si>
  <si>
    <t>less than 10%</t>
  </si>
  <si>
    <t>Cheyenne Mt.,  Lewis-Palmer, Thompson</t>
  </si>
  <si>
    <t>Adams-Arapahoe, Brighton, Englewood, JeffCo</t>
  </si>
  <si>
    <t>Total number of districts</t>
  </si>
  <si>
    <t>Small rural</t>
  </si>
  <si>
    <t>Pupil Count October 2016: 6-12</t>
  </si>
  <si>
    <r>
      <rPr>
        <sz val="11"/>
        <color theme="1"/>
        <rFont val="Calibri"/>
        <family val="2"/>
        <scheme val="minor"/>
      </rPr>
      <t>from</t>
    </r>
    <r>
      <rPr>
        <b/>
        <sz val="11"/>
        <color theme="1"/>
        <rFont val="Calibri"/>
        <family val="2"/>
        <scheme val="minor"/>
      </rPr>
      <t xml:space="preserve"> Colorado Education Facts and Figures</t>
    </r>
  </si>
  <si>
    <t xml:space="preserve">% of new accounts to 2016 pupil count - 6th - 12th, *districts by type  </t>
  </si>
  <si>
    <t>*includes Charter Institute and School for Deaf and Blind</t>
  </si>
  <si>
    <t>Districts' Total Pupil Count</t>
  </si>
  <si>
    <t>Urban-Suburban District Name</t>
  </si>
  <si>
    <t>Denver Metro District Name</t>
  </si>
  <si>
    <t>Total: Districts with more than half of their students with new CIC accounts</t>
  </si>
  <si>
    <t>Total: Districts with less than half of their students with new CIC accounts</t>
  </si>
  <si>
    <t/>
  </si>
  <si>
    <t>Number of accounts</t>
  </si>
  <si>
    <t>% of Total</t>
  </si>
  <si>
    <t>2018 Grade 12</t>
  </si>
  <si>
    <t>2019 Grade 11</t>
  </si>
  <si>
    <t>2020 Grade 10</t>
  </si>
  <si>
    <t>2021 Grade 9</t>
  </si>
  <si>
    <t>2022 Grade 8</t>
  </si>
  <si>
    <t>2023 Grade 7</t>
  </si>
  <si>
    <t>2024 Grade 6</t>
  </si>
  <si>
    <t>**Colorado Department of Education</t>
  </si>
  <si>
    <t>BOCES</t>
  </si>
  <si>
    <t>Home Schooled</t>
  </si>
  <si>
    <t>Private Schools K-12</t>
  </si>
  <si>
    <t>Indian Nations</t>
  </si>
  <si>
    <t>Precollegiate and Other Providers</t>
  </si>
  <si>
    <t>Department of Higher Education</t>
  </si>
  <si>
    <t>Colorado Department of Human Services</t>
  </si>
  <si>
    <t>Social Services Agencies - Government</t>
  </si>
  <si>
    <t>Adult Non-profit and Private Providers</t>
  </si>
  <si>
    <t>Colorado Department of Labor and Employment</t>
  </si>
  <si>
    <t>State Dept. of Corrections - Parole, CC, YOS</t>
  </si>
  <si>
    <t>OYF Default Location – No Connection</t>
  </si>
  <si>
    <t>Ex-offender Support Organizations</t>
  </si>
  <si>
    <t>No Primary Connection ("None Selected")</t>
  </si>
  <si>
    <t>Training Sites</t>
  </si>
  <si>
    <t>*Accounts</t>
  </si>
  <si>
    <t>There is an average of 66,568 pupils at each grade level 6-12</t>
  </si>
  <si>
    <t>Creation of a College In Colorado account</t>
  </si>
  <si>
    <t>is required for all public school 6th-graders</t>
  </si>
  <si>
    <t>under SB 09-256</t>
  </si>
  <si>
    <t>Active Accounts</t>
  </si>
  <si>
    <t>%</t>
  </si>
  <si>
    <t>Colorado Department of Education</t>
  </si>
  <si>
    <t>Colorado Division of Vocational Rehabilitation</t>
  </si>
  <si>
    <t>Private or Non-Profit Companies</t>
  </si>
  <si>
    <t>State Dept. of Corrections - Adult Division</t>
  </si>
  <si>
    <t>COLLEGE IN COLORADO ACCOUNTS/Middle &amp; High School</t>
  </si>
  <si>
    <t>Totals</t>
  </si>
  <si>
    <t>Active accounts created during academic years 2014-2017 by grad year</t>
  </si>
  <si>
    <t xml:space="preserve">**Active accounts % of all middle/high public school enrollment of 468,145 </t>
  </si>
  <si>
    <t>ACCOUNTS BY AGENCY - LAST SEVEN YEARS (FY2010-2017)</t>
  </si>
  <si>
    <t>COLLEGE IN COLORADO BUDGET - 2004 TO PRESENT - BY CATEGORY</t>
  </si>
  <si>
    <t>Expenses</t>
  </si>
  <si>
    <t>Category</t>
  </si>
  <si>
    <t>FY 2004 Actuals</t>
  </si>
  <si>
    <t>FY 2005 Actuals</t>
  </si>
  <si>
    <t>FY 2005-2006 Budget</t>
  </si>
  <si>
    <t>FY 2006-2007 Budget</t>
  </si>
  <si>
    <t>FY 2007-2008 Budget</t>
  </si>
  <si>
    <t>FY 2008-2009 Budget</t>
  </si>
  <si>
    <t>FY 2009-2010 Budget</t>
  </si>
  <si>
    <t>FY 2010-2011 Budget</t>
  </si>
  <si>
    <t>FY 2011-2012 Budget</t>
  </si>
  <si>
    <t>FY 2012-2013 Budget</t>
  </si>
  <si>
    <t>FY 2013-2014 Budget</t>
  </si>
  <si>
    <t>FY 2014-2015 Budget</t>
  </si>
  <si>
    <t>FY 2015-2016 Budget</t>
  </si>
  <si>
    <t>FY 2016-2017 Budget</t>
  </si>
  <si>
    <t>FY 2017-2018 Budget Request</t>
  </si>
  <si>
    <t>FY 2018-2019 Budget</t>
  </si>
  <si>
    <t>FY 2019-2020 Budget</t>
  </si>
  <si>
    <t>TOTAL OVER THE YEARS</t>
  </si>
  <si>
    <t>Amount</t>
  </si>
  <si>
    <t>FTE</t>
  </si>
  <si>
    <t>Salaries and Benefits</t>
  </si>
  <si>
    <t xml:space="preserve"> </t>
  </si>
  <si>
    <t>Web / IT</t>
  </si>
  <si>
    <t>Outreach Travel</t>
  </si>
  <si>
    <t>Operating</t>
  </si>
  <si>
    <t>Marketing / Advertising /Printing</t>
  </si>
  <si>
    <t>Other</t>
  </si>
  <si>
    <t>TOTAL BUDGET</t>
  </si>
  <si>
    <t>Revenue</t>
  </si>
  <si>
    <t>Other Funds (not CSLP/College Assist)</t>
  </si>
  <si>
    <t>Funds</t>
  </si>
  <si>
    <t>TOTAL FUNDS</t>
  </si>
  <si>
    <t>Web &amp; Outreach Partnerships</t>
  </si>
  <si>
    <t>CO Department of Corrections</t>
  </si>
  <si>
    <t xml:space="preserve">CO Department of Human Services - Foster </t>
  </si>
  <si>
    <t>Web Design/Development Partnerships</t>
  </si>
  <si>
    <t>CO Department of Labor and Employment (ETPL)</t>
  </si>
  <si>
    <t>HB 1274 Career Pathway (CWDC)</t>
  </si>
  <si>
    <t>JAG (Dept. of Corrections)</t>
  </si>
  <si>
    <t>Pueblo Community College Health Hub (CHEO)</t>
  </si>
  <si>
    <t>CCCS Energy Hub (CHEO)</t>
  </si>
  <si>
    <t>CO Department of Higher Education</t>
  </si>
  <si>
    <t>Foundations &amp; Special Projects Funding</t>
  </si>
  <si>
    <t>Daniels Fund</t>
  </si>
  <si>
    <t>El Pomar</t>
  </si>
  <si>
    <t>Fund for Colorado's Future</t>
  </si>
  <si>
    <t>Community College System (CCCS)</t>
  </si>
  <si>
    <t>Colorado Institute of Technology (CIT)</t>
  </si>
  <si>
    <t>GearUp</t>
  </si>
  <si>
    <t>NelNet</t>
  </si>
  <si>
    <t>HB 1027 &amp; HB 1057  8th/12th grade letters</t>
  </si>
  <si>
    <t>Subtotal Foundations &amp; Special Projects</t>
  </si>
  <si>
    <t>Other Federal Funding (CACG)</t>
  </si>
  <si>
    <t>TOTAL ESTIMATE OF OTHER FUNDS</t>
  </si>
  <si>
    <r>
      <t xml:space="preserve">First year XAP contract in </t>
    </r>
    <r>
      <rPr>
        <sz val="11"/>
        <color rgb="FFFF0000"/>
        <rFont val="Calibri"/>
        <family val="2"/>
        <scheme val="minor"/>
      </rPr>
      <t>August of 2001</t>
    </r>
    <r>
      <rPr>
        <sz val="12"/>
        <rFont val="Calibri"/>
        <family val="1"/>
        <scheme val="minor"/>
      </rPr>
      <t xml:space="preserve"> called for $591,199 in development charges, $354,356 in O &amp; M plus Transcripts when available at additional cost</t>
    </r>
  </si>
  <si>
    <t>Subtotal Web and Outreach Partnerships</t>
  </si>
  <si>
    <t>Estimate of College Assist (federal) funds</t>
  </si>
  <si>
    <t>College Access Challege Grant (CACG) - federal funds</t>
  </si>
  <si>
    <t>2016-17 Public School Pupil Membership</t>
  </si>
  <si>
    <t>Pupil count</t>
  </si>
  <si>
    <t>Grades 6 - 8</t>
  </si>
  <si>
    <t>276 middle schools</t>
  </si>
  <si>
    <t>Grades 9 - 12</t>
  </si>
  <si>
    <t>500 high schools</t>
  </si>
  <si>
    <t>Total middle and high school pupil count</t>
  </si>
  <si>
    <t>Basic Product Equivalents</t>
  </si>
  <si>
    <t>Nav. Cost per student (2016)</t>
  </si>
  <si>
    <t>Nav. Cost per site (2016)</t>
  </si>
  <si>
    <t>Total Cost for Naviance</t>
  </si>
  <si>
    <t>CIC Cost per student (2018)</t>
  </si>
  <si>
    <t>CIC Cost Statewide (2018)</t>
  </si>
  <si>
    <t>Paid by purchasing districts</t>
  </si>
  <si>
    <t xml:space="preserve">Free of charge to schools since 2005 </t>
  </si>
  <si>
    <t>High School (basic module)</t>
  </si>
  <si>
    <t>Included</t>
  </si>
  <si>
    <t>Middle School (basic module)</t>
  </si>
  <si>
    <t>Career Key</t>
  </si>
  <si>
    <t>Course Planner</t>
  </si>
  <si>
    <t>Included with SIS integration</t>
  </si>
  <si>
    <t xml:space="preserve">Not included in </t>
  </si>
  <si>
    <t>Total cost all students</t>
  </si>
  <si>
    <t>current contract</t>
  </si>
  <si>
    <t>Cost per Pupil</t>
  </si>
  <si>
    <t>Additional Products/Enhancements</t>
  </si>
  <si>
    <t>Premium Assessments</t>
  </si>
  <si>
    <t>(Pkg-Achieveworks)</t>
  </si>
  <si>
    <t>Same 3 assessments</t>
  </si>
  <si>
    <r>
      <t>Do What You Are®</t>
    </r>
    <r>
      <rPr>
        <sz val="9"/>
        <color theme="1"/>
        <rFont val="Calibri"/>
        <family val="2"/>
        <scheme val="minor"/>
      </rPr>
      <t xml:space="preserve"> focuses on personality type, which is really about behavior and personal values.</t>
    </r>
  </si>
  <si>
    <r>
      <t xml:space="preserve">The </t>
    </r>
    <r>
      <rPr>
        <i/>
        <sz val="9"/>
        <color theme="1"/>
        <rFont val="Calibri"/>
        <family val="2"/>
        <scheme val="minor"/>
      </rPr>
      <t>Learning Style Inventory</t>
    </r>
    <r>
      <rPr>
        <sz val="9"/>
        <color theme="1"/>
        <rFont val="Calibri"/>
        <family val="2"/>
        <scheme val="minor"/>
      </rPr>
      <t xml:space="preserve"> provides insight on environments and situations where students are most productive and receptive to learning.</t>
    </r>
  </si>
  <si>
    <r>
      <t>MI Advantage</t>
    </r>
    <r>
      <rPr>
        <i/>
        <vertAlign val="superscript"/>
        <sz val="9"/>
        <color theme="1"/>
        <rFont val="Calibri"/>
        <family val="2"/>
        <scheme val="minor"/>
      </rPr>
      <t>TM</t>
    </r>
    <r>
      <rPr>
        <sz val="9"/>
        <color theme="1"/>
        <rFont val="Calibri"/>
        <family val="2"/>
        <scheme val="minor"/>
      </rPr>
      <t xml:space="preserve"> digs deeply into cognitive patterns that reveal a student’s inclination for certain skills and knowledge.</t>
    </r>
  </si>
  <si>
    <t>Transcripts, letters of recommendation</t>
  </si>
  <si>
    <t>E-Docs</t>
  </si>
  <si>
    <t>525.00/site (with minimum)</t>
  </si>
  <si>
    <t>Parchment for College -Transcripts</t>
  </si>
  <si>
    <t>$1/transcript transaction</t>
  </si>
  <si>
    <t>Common app transmission</t>
  </si>
  <si>
    <t>Unknown</t>
  </si>
  <si>
    <t>Applications</t>
  </si>
  <si>
    <t>$2/App transaction</t>
  </si>
  <si>
    <t>CIC additional functionality included in above price</t>
  </si>
  <si>
    <t>Career and College Readiness Curriculum</t>
  </si>
  <si>
    <t>Prepare your students for life after high school by using the career and college readiness curriculum below. Each unit includes 10 lessons. The lessons can be taught sequentially or simply used individually.</t>
  </si>
  <si>
    <t>Career Exploration and Planning Unit</t>
  </si>
  <si>
    <t>1. Discover Careers with the Career Cluster Survey</t>
  </si>
  <si>
    <t>2. Learning About Career Interests with the Interest Profiler</t>
  </si>
  <si>
    <t>3. Discover Your Skills with the Basic Skills Survey</t>
  </si>
  <si>
    <t>4. Assess Your Skills with the Transferable Skills Checklist</t>
  </si>
  <si>
    <t>5. Learning About Values with the Work Values Sorter</t>
  </si>
  <si>
    <t>6. All About You</t>
  </si>
  <si>
    <t>7. How You See Yourself</t>
  </si>
  <si>
    <t>8. Browsing Career Clusters</t>
  </si>
  <si>
    <t>9. Career Profiles</t>
  </si>
  <si>
    <t>10. Making a Plan with the Career Plan Builder</t>
  </si>
  <si>
    <t>1. Postsecondary Options</t>
  </si>
  <si>
    <t>2. Online Education and Distance Learning</t>
  </si>
  <si>
    <t>3. Exploring Programs by Cluster</t>
  </si>
  <si>
    <t>4. Exploring Schools With the School Finder</t>
  </si>
  <si>
    <t>5. Preparing for Standardized Testing</t>
  </si>
  <si>
    <t>6. Admissions Streams: Which is Right for You?</t>
  </si>
  <si>
    <t>7. Practice a College Application</t>
  </si>
  <si>
    <t>8. Perfecting the College Essay</t>
  </si>
  <si>
    <t>9. Apply and Track Your College Application</t>
  </si>
  <si>
    <t>10. After High School Transition Plan</t>
  </si>
  <si>
    <t>High School Academic Planning</t>
  </si>
  <si>
    <t>1. High School Planning Timeline</t>
  </si>
  <si>
    <t>2. Choose Your Favorite Career Cluster</t>
  </si>
  <si>
    <t>3. Match Your Skills to Classes</t>
  </si>
  <si>
    <t>4. Build Your Skills: Going Beyond the Classroom</t>
  </si>
  <si>
    <t>5. Which Classes Should I Take?</t>
  </si>
  <si>
    <t>6. Build Your Plan of Study</t>
  </si>
  <si>
    <t>7. Time to Update Your Plan of Study</t>
  </si>
  <si>
    <t>8. Successful Study Techniques</t>
  </si>
  <si>
    <t>9. Maintaining Your Academic Portfolio</t>
  </si>
  <si>
    <t>10. Experiences and Activities That Enhance Your Academic Portfolio</t>
  </si>
  <si>
    <t>Financial Aid Planning</t>
  </si>
  <si>
    <t>1. Learn Financial Aid Terms With the Financial Aid Glossary</t>
  </si>
  <si>
    <t>2. Save for College With Financial Aid 101 and the College Savings Calculator</t>
  </si>
  <si>
    <t>3. Grants, Loans and Scholarships: What's the Difference?</t>
  </si>
  <si>
    <t>4. Discover Your Estimated Family Contribution With the EFC Calculator</t>
  </si>
  <si>
    <t>5. FAFSA is Key</t>
  </si>
  <si>
    <t>6. Comparing College Costs</t>
  </si>
  <si>
    <t>7. Learn About College Loans With the SLOPE Calculator</t>
  </si>
  <si>
    <t>8. Developing a Scholarship Portfolio</t>
  </si>
  <si>
    <t>9. Search for Scholarships With the Scholarship Finder</t>
  </si>
  <si>
    <t>10. Financial Aid Wizard: Planning Your Academic Finances in Seven Easy Steps</t>
  </si>
  <si>
    <t>Job Search</t>
  </si>
  <si>
    <t>1. Introduction to the Job Search</t>
  </si>
  <si>
    <t>2. Researching Companies</t>
  </si>
  <si>
    <t>3. Your Transferable Skills</t>
  </si>
  <si>
    <t>4. Learn to Write a Resume With the Resume Builder</t>
  </si>
  <si>
    <t>5. Learn to Write a Cover Letter With the Cover Letter Creator</t>
  </si>
  <si>
    <t>6. The Job Application</t>
  </si>
  <si>
    <t>7. Preparing for a Job Interview</t>
  </si>
  <si>
    <t>8. The Job Interview</t>
  </si>
  <si>
    <t>9. Learn to Write a Thank-You Letter with the Thank-You Letter Builder</t>
  </si>
  <si>
    <t>10. Evaluating Your Progress</t>
  </si>
  <si>
    <t>Lifelong Portfolio</t>
  </si>
  <si>
    <t>2. Ages and Stages</t>
  </si>
  <si>
    <t>3. Personal Portfolio Case Study</t>
  </si>
  <si>
    <t>4. Learning About Personal Portfolios Through a Personal Interview</t>
  </si>
  <si>
    <t>5. Career Portfolio Case Study</t>
  </si>
  <si>
    <t>7. Portfolio Scavenger Hunt</t>
  </si>
  <si>
    <t>8. Creating Your Own Portfolios</t>
  </si>
  <si>
    <t>9. Your Future, Your Portfolio</t>
  </si>
  <si>
    <t>10. Storing Your Portfolio... and More!</t>
  </si>
  <si>
    <t>Successful Transitions Guide</t>
  </si>
  <si>
    <t>Introduction</t>
  </si>
  <si>
    <t>The Guide</t>
  </si>
  <si>
    <t>Worksheet 1: Getting to Know the Job</t>
  </si>
  <si>
    <t>Worksheet 2: Careers and College</t>
  </si>
  <si>
    <t>Worksheet 3: What Will You Be?</t>
  </si>
  <si>
    <t>Worksheet 4: Preparing for a College Education</t>
  </si>
  <si>
    <t>Worksheet 5: Careers Without College</t>
  </si>
  <si>
    <t>Worksheet 6: Your Interests and Talents</t>
  </si>
  <si>
    <t>Worksheet 7: About Your Skills</t>
  </si>
  <si>
    <t>Worksheet 8: Improving Your Skills</t>
  </si>
  <si>
    <t>Worksheet 9: Meeting the Job Requirements</t>
  </si>
  <si>
    <t>Worksheet 10: Skills for Independent Living</t>
  </si>
  <si>
    <t>Worksheet 11: About Careers and You</t>
  </si>
  <si>
    <t>Worksheet 12: Organizing Your Information</t>
  </si>
  <si>
    <t>Worksheet 13: About Education and Training</t>
  </si>
  <si>
    <t>Worksheet 14: Choosing Your Options</t>
  </si>
  <si>
    <t>Worksheet 15: After High School</t>
  </si>
  <si>
    <t xml:space="preserve"> Employed</t>
  </si>
  <si>
    <t>Unemployed</t>
  </si>
  <si>
    <t>High School Graduation Year</t>
  </si>
  <si>
    <t>Total High School Graduates</t>
  </si>
  <si>
    <t>Total College Enrollment</t>
  </si>
  <si>
    <t>High School Graduates Not enrolled</t>
  </si>
  <si>
    <t>Dropouts</t>
  </si>
  <si>
    <t>Percent earning any postsecondary credential</t>
  </si>
  <si>
    <t>Veterans</t>
  </si>
  <si>
    <t>2011-15</t>
  </si>
  <si>
    <t>Didn't earn a credential</t>
  </si>
  <si>
    <t>(in Thousands)</t>
  </si>
  <si>
    <t xml:space="preserve">2015-16 Dropouts </t>
  </si>
  <si>
    <t>Middle and High School Students</t>
  </si>
  <si>
    <t>Adults more than 16 years of age</t>
  </si>
  <si>
    <t>Under-employed? Gave up looking? Adults with</t>
  </si>
  <si>
    <t>Plus…</t>
  </si>
  <si>
    <t>Potential Users</t>
  </si>
  <si>
    <t>?</t>
  </si>
  <si>
    <t>POTENTIAL NEED AREAS AND ESTIMATES</t>
  </si>
  <si>
    <t>EXAMPLES OF CURRICULUM AVAILABLE</t>
  </si>
  <si>
    <t>CIC FUNDING SOURCES</t>
  </si>
  <si>
    <t>Indian Nations (supporting organizations)</t>
  </si>
  <si>
    <t>What</t>
  </si>
  <si>
    <t>Goals</t>
  </si>
  <si>
    <t>+ Promote a "warm handoff" for students and adults accessing services among multiple agencies</t>
  </si>
  <si>
    <t>+ Develop and strengthen interagency and community organizational partnerships</t>
  </si>
  <si>
    <t>OUTREACH TEAM FOCUS</t>
  </si>
  <si>
    <t>Outreach and Access Coordinators</t>
  </si>
  <si>
    <t xml:space="preserve">+ Facilitate school and organizational participation in College Application Month and College Friday </t>
  </si>
  <si>
    <t>+ Use the power of CIC and individual career, postsecondary and job exploration and planning with multiple generations of individuals in each region</t>
  </si>
  <si>
    <t xml:space="preserve">+ Conduct regional workshop opportunities to education and workforce professionals on key CIC activities and features </t>
  </si>
  <si>
    <t>Serve education, workforce and corrections professionals statewide by supporting their efforts to use CIC tools and resources</t>
  </si>
  <si>
    <t xml:space="preserve">        effectively during individual career, postsecondary and job exploration and planning with their stakeholders</t>
  </si>
  <si>
    <t xml:space="preserve">+ Assist professionals as needed via webinar, phone and e-mail </t>
  </si>
  <si>
    <t>Education Coach</t>
  </si>
  <si>
    <t>Corrections Outreach Coordinator</t>
  </si>
  <si>
    <t xml:space="preserve">   college advisement, career planning, financial aid support and Own Your Future website training</t>
  </si>
  <si>
    <t xml:space="preserve">In partnership with the Department of Corrections, provide staff members and offenders statewide, education counseling,  </t>
  </si>
  <si>
    <t>Own Your Future site for offenders/ex-offenders included</t>
  </si>
  <si>
    <t>Transferable and scalable to all schools and other organizations statewide (no individual license)</t>
  </si>
  <si>
    <t>+ Identify and reach out to partners with underserved, high-need, at risk populations based upon key demographic indicators</t>
  </si>
  <si>
    <r>
      <t xml:space="preserve">Part 5 - Institute Charter Schools: </t>
    </r>
    <r>
      <rPr>
        <b/>
        <sz val="12"/>
        <color rgb="FF333333"/>
        <rFont val="Calibri"/>
        <family val="2"/>
        <scheme val="minor"/>
      </rPr>
      <t>22-30.5-505. State charter school institute - institute board - appointment - powers and duties - rules.</t>
    </r>
  </si>
  <si>
    <t>to develop and maintain the student's individual career and academic plan in any grade prior to ninth grade.</t>
  </si>
  <si>
    <t xml:space="preserve">The institute, the department, and the department of higher education shall collaborate to monitor the implementation of this paragraph (f) </t>
  </si>
  <si>
    <t xml:space="preserve">and to ensure optimal interactivity between the various data bases and student record systems employed by institute charter schools </t>
  </si>
  <si>
    <t xml:space="preserve">the student's individual career and academic plan no later than the beginning of ninth grade but may assist the student and his or her parent or legal guardian </t>
  </si>
  <si>
    <r>
      <t xml:space="preserve">is registered with the state-provided, free on-line college planning and preparation resource, commonly referred to as </t>
    </r>
    <r>
      <rPr>
        <sz val="12"/>
        <color rgb="FFFF0000"/>
        <rFont val="Calibri"/>
        <family val="2"/>
        <scheme val="minor"/>
      </rPr>
      <t>"CollegeInColorado.org"</t>
    </r>
    <r>
      <rPr>
        <sz val="12"/>
        <rFont val="Calibri"/>
        <family val="1"/>
        <scheme val="minor"/>
      </rPr>
      <t xml:space="preserve">. </t>
    </r>
  </si>
  <si>
    <r>
      <t xml:space="preserve">and </t>
    </r>
    <r>
      <rPr>
        <sz val="12"/>
        <color rgb="FFFF0000"/>
        <rFont val="Calibri"/>
        <family val="2"/>
        <scheme val="minor"/>
      </rPr>
      <t>college in Colorado</t>
    </r>
    <r>
      <rPr>
        <sz val="12"/>
        <rFont val="Calibri"/>
        <family val="1"/>
        <scheme val="minor"/>
      </rPr>
      <t xml:space="preserve">. Each institute charter school shall assist each student and his or her parent or legal guardian to develop and maintain </t>
    </r>
  </si>
  <si>
    <t>IN GROWING INDUSTRIES, AND, IN CONNECTION THEREWITH, MAKING AN APPROPRIATION.</t>
  </si>
  <si>
    <t>SB09-256</t>
  </si>
  <si>
    <t>HB15-1274 - CONCERNING THE CREATION OF CAREER PATHWAYS FOR STUDENTS FOR CRITICAL OCCUPATIONS</t>
  </si>
  <si>
    <t>HB 17-1041</t>
  </si>
  <si>
    <t>CCHE COF Status Report, FY05-06, FY06-07, SB05-189 implementation</t>
  </si>
  <si>
    <t>HB05-1027</t>
  </si>
  <si>
    <r>
      <t>HB05-1057</t>
    </r>
    <r>
      <rPr>
        <sz val="12"/>
        <color rgb="FF000000"/>
        <rFont val="Calibri"/>
        <family val="2"/>
        <scheme val="minor"/>
      </rPr>
      <t xml:space="preserve"> </t>
    </r>
  </si>
  <si>
    <t>LEGISLATIVE MANDATES FOR CIC OR THOSE THAT CIC IMPLEMENTS</t>
  </si>
  <si>
    <t xml:space="preserve">In partnership with the Department of Human Services, provide foster youth receiving Education Training Vouchers with educational counseling,  </t>
  </si>
  <si>
    <t xml:space="preserve">   college advisement, career planning, financial aid support, referral to local student support programs and On the Right Path website assistance</t>
  </si>
  <si>
    <t>Pilot projects in several regions: CSU-Pueblo TRiO &amp; Pueblo City Schools, Trinidad Regional Collaborative, Denver neighborhood of West Colfax</t>
  </si>
  <si>
    <t>Residents Statewide</t>
  </si>
  <si>
    <t>Training/Support</t>
  </si>
  <si>
    <t>Free of charge to schools &amp; organizations</t>
  </si>
  <si>
    <t xml:space="preserve">$1,000+/day/site </t>
  </si>
  <si>
    <t>English only, some Spanish-language videos &amp; school specific content if school provides translation</t>
  </si>
  <si>
    <t>COLLEGE IN COLORADO BASE PLATFORM VS. NAVIANCE*</t>
  </si>
  <si>
    <t>District/site license, no portfolio transfer to non-licensed districts</t>
  </si>
  <si>
    <t>Many Colorado and school-specific customizations</t>
  </si>
  <si>
    <t>Some school-specific customizations</t>
  </si>
  <si>
    <t>Unique Users to Date</t>
  </si>
  <si>
    <t>Courses taken; partial to full completion</t>
  </si>
  <si>
    <t>Credit</t>
  </si>
  <si>
    <t>Identity Theft</t>
  </si>
  <si>
    <t>Income</t>
  </si>
  <si>
    <t>Insurance</t>
  </si>
  <si>
    <t>Money Management</t>
  </si>
  <si>
    <t>Paying for College</t>
  </si>
  <si>
    <t>Saving and Investing</t>
  </si>
  <si>
    <t xml:space="preserve">Spending </t>
  </si>
  <si>
    <t>Taxes</t>
  </si>
  <si>
    <t>MONEY 101 USAGE STATISTICS</t>
  </si>
  <si>
    <t>COLLEGE ADMISSIONS TOOL</t>
  </si>
  <si>
    <t>Last academic year</t>
  </si>
  <si>
    <t xml:space="preserve">Matching College List </t>
  </si>
  <si>
    <t>Wizard/Pathway</t>
  </si>
  <si>
    <t>These estimates are based upon 2016 RFP responses</t>
  </si>
  <si>
    <t>Incarcerated</t>
  </si>
  <si>
    <t xml:space="preserve">a credential but need another, close to completion? </t>
  </si>
  <si>
    <t>2011-2016 Outreach Activity</t>
  </si>
  <si>
    <t>More than 4,000 events staffed:</t>
  </si>
  <si>
    <t xml:space="preserve">1,600 presentations </t>
  </si>
  <si>
    <t>250 in-person trainings</t>
  </si>
  <si>
    <t>780 events and special projects</t>
  </si>
  <si>
    <t>College Friday 2016</t>
  </si>
  <si>
    <t>&gt;1,000 businesses, schools and organizations statewide</t>
  </si>
  <si>
    <t>&gt;300,000 individual participants</t>
  </si>
  <si>
    <t>12,000 views</t>
  </si>
  <si>
    <t>Activity:</t>
  </si>
  <si>
    <t>Date:</t>
  </si>
  <si>
    <t>Performed By:</t>
  </si>
  <si>
    <t>Brian - GPS</t>
  </si>
  <si>
    <t>Notes:</t>
  </si>
  <si>
    <t>Weighted Score</t>
  </si>
  <si>
    <t>Functionality</t>
  </si>
  <si>
    <t>Decommision</t>
  </si>
  <si>
    <t>Bare Minimum</t>
  </si>
  <si>
    <t>0$</t>
  </si>
  <si>
    <t>$1.2M</t>
  </si>
  <si>
    <t>$1.9M</t>
  </si>
  <si>
    <t>$1.9M +</t>
  </si>
  <si>
    <t>Psychology of Money</t>
  </si>
  <si>
    <t xml:space="preserve">https://www.cde.state.co.us/cdechart/csact_part5 </t>
  </si>
  <si>
    <t xml:space="preserve"> 2(f) Ensure that each student who enrolls in the sixth grade in an institute charter school, on the day of enrollment, </t>
  </si>
  <si>
    <t>College Application Month website 2016</t>
  </si>
  <si>
    <t>Hash tag contest 350 entries on Twitter, 1,540 entries on Instagram, 37 Facebook</t>
  </si>
  <si>
    <t>CIC Partnerships/Collective Impact Focus</t>
  </si>
  <si>
    <t>6. Learning About Career Portfolios Through a Personal Interview</t>
  </si>
  <si>
    <t>Transition Planning for Special Needs Curriculum</t>
  </si>
  <si>
    <t xml:space="preserve">*Naviance (a product of Hobsons, a for-profit subsidiary of Daily Mail and General Trust) is a career and college planning portal purchased (license to use) by some schools/districts </t>
  </si>
  <si>
    <t>Google Translate site wide (100+ languages)</t>
  </si>
  <si>
    <t>* Represents only usage by those that created and used their account during the last seven years and fall in grad year range</t>
  </si>
  <si>
    <t>CIC STRATEGIC OPTIONS MATRIX</t>
  </si>
  <si>
    <t>Strategic Options</t>
  </si>
  <si>
    <t>CIC Current</t>
  </si>
  <si>
    <t>CIC+</t>
  </si>
  <si>
    <t>Skillful</t>
  </si>
  <si>
    <t xml:space="preserve">CIC Inclusions </t>
  </si>
  <si>
    <t xml:space="preserve">Interests/skills/values assessments </t>
  </si>
  <si>
    <t>Interest Profiler, Career Cluster Survey, Basic Skills Survey, Transferable Skills Checklist, Career Key, Work Values Sorter</t>
  </si>
  <si>
    <t>Explore careers and career clusters</t>
  </si>
  <si>
    <t>Browse and detailed Career Clusters, recommended plan of study for cluster/pathways, voluteering and recreation activities for cluster, Detailed Career Profiles (complete O*Net) including military options, Emerging/specialty career profiles, career keyword search, Career Finder query building tool, compare careers side-by-side, career plan builder, off-site links to industry career sites</t>
  </si>
  <si>
    <t>Explore industry pathways</t>
  </si>
  <si>
    <t>Non-CIC funds</t>
  </si>
  <si>
    <t>Careers In Colorado interactive pathway maps (IT, Construction/Trades, Health) include skills, qualifications, experience and educational requirements for Colorado top jobs in each pathway along with programs available (ETPL interface), Energy Microsite; ICAP enabled</t>
  </si>
  <si>
    <t xml:space="preserve">Job preparation tools, employment </t>
  </si>
  <si>
    <t xml:space="preserve">Practice job application, resume builder, cover letter creator, job interview practice, thank-you letter builder, How-to, examples, get-started worksheets for applications, deep link for career profile to Colorado ZipRecruiter Job Bank, LMI Gateway link  </t>
  </si>
  <si>
    <t>Middle and high school coursework planning</t>
  </si>
  <si>
    <t>Coursework planning by subject &amp; grade, customizable plans of study, graduation requirements and on-track tracking, comparison to college entrance expectations, parental sign off &amp; tracking</t>
  </si>
  <si>
    <t>Statewide student information system integration</t>
  </si>
  <si>
    <t>Transcripts</t>
  </si>
  <si>
    <t>High school to school, high school to college, college to college</t>
  </si>
  <si>
    <t>High school preparation and exploration information</t>
  </si>
  <si>
    <t>High school planning timelines, concurrent enrollment worksheets and portfolio activities, succeeding in high school how to and homework helper resources</t>
  </si>
  <si>
    <t>Understanding postsecondary options</t>
  </si>
  <si>
    <t xml:space="preserve">College planning timeline, getting ready for postsecondary resources and articles, college FAQs, reciprocity and exhange program information, off-site resources </t>
  </si>
  <si>
    <t>Explore schools</t>
  </si>
  <si>
    <t>Browse, quick and custom searches; Detailed profiles for Colorado schools and &gt;8,000 schools nationwide, School Finder query builder, Direct to College connections, compare schools side-by-side, distance search, quick college matching assistant</t>
  </si>
  <si>
    <t>College Admissions Tool</t>
  </si>
  <si>
    <t>Wizard to understand postsecondary options, compare GPA, test scores, coursework to admissions requirements for four-year college in Colorado; planning tools, to-do lists</t>
  </si>
  <si>
    <t>Explore programs and majors</t>
  </si>
  <si>
    <t>Keyword, browse by cluster, related to career searches, links to off-site industry-hosted sites, credential levels available for program, related programs, schools in Colorado and nationwide that offer the program, interviews about the program</t>
  </si>
  <si>
    <t>Eligible Training Providers List</t>
  </si>
  <si>
    <t>Two-year, four-year, apprenticeship, occupational/technical providers and program offerings at the regional level including which are WIOA eligible, search by program, career, provider, career cluster</t>
  </si>
  <si>
    <t>College applications</t>
  </si>
  <si>
    <t>Track application, practice an application, get recruited, apply online</t>
  </si>
  <si>
    <t>Financial aid information and calculators</t>
  </si>
  <si>
    <t>Comprehensive Financial Aid 101 and repayment information, financial aid calculators including Award Estimator (Colorado Schools), EFC Calculator, Savings Calculator, SLOPE calculator (compare entry-level career earnings to loan debt), build fincial aid plans, aid timeline</t>
  </si>
  <si>
    <t>Aid applications</t>
  </si>
  <si>
    <t xml:space="preserve">File the FAFSA online, COF applications and information, Fafsa When? Calculator, </t>
  </si>
  <si>
    <t>Scholarship search and tracking</t>
  </si>
  <si>
    <t>3 million scholarships, targeted seach criteria engine, e-mail notices, deadline and award tracking.</t>
  </si>
  <si>
    <t>Money 101 personal financial literacy</t>
  </si>
  <si>
    <t>10 online courses, certificates of completion, facilitator system, tools and calculators, videos</t>
  </si>
  <si>
    <t>Individual online portfolio</t>
  </si>
  <si>
    <t>Custom local portfolio page and milestones selection</t>
  </si>
  <si>
    <t>Organizations may build a multi-page activities guidance system for users associated with their organization and track completion</t>
  </si>
  <si>
    <t>Portfolio activities</t>
  </si>
  <si>
    <t>Record notes and documents related to to career, job, education, experiences, projects, goals, self-assessments in guided activities. Online journal, annual snapshots of portfolio</t>
  </si>
  <si>
    <t>Professional Center</t>
  </si>
  <si>
    <t>For users associated with organization, build and track Local Portfolio Pages (ICAP), milestones and plans of study. Run reports, analyze data, review individual portfolios, adminster users and groups, correspond and calendar events for users. Obtain resources</t>
  </si>
  <si>
    <t>Career/college curriculum and lesson plans</t>
  </si>
  <si>
    <t>Career and College Readiness Curriculum including lesson plans, Transition Planning and Special Needs Curriculum, resources, lesson plans and student worksheets for Colorado-specific implementation.</t>
  </si>
  <si>
    <t>Report Central</t>
  </si>
  <si>
    <t>Run the same activity, usage and tracking reports as at the single organizational level but aggregated for any organization or combination of organizations in the statewide heirarchy.</t>
  </si>
  <si>
    <t>24/7 access for Colorado colleges to update their data, graphics and video for their online profile, including programs offered.</t>
  </si>
  <si>
    <t>Own Your Future component</t>
  </si>
  <si>
    <t xml:space="preserve">Access to the larger CIC site with additional resources and information for incarcerated, ex-offender, homeless and other at risk populations on "Your Life" including housing, transportation, budget and scheduling. </t>
  </si>
  <si>
    <t>On The Right Path website</t>
  </si>
  <si>
    <t>Resources and information specifically for homeless and foster youth</t>
  </si>
  <si>
    <t>CIC Colorado ASSET website</t>
  </si>
  <si>
    <t>Calculator to determine eligibility for ASSET and COF, information about DACA</t>
  </si>
  <si>
    <t>Miscellaneous</t>
  </si>
  <si>
    <t>Website Technical Support, Student Blogs, Test preparation information and resources</t>
  </si>
  <si>
    <t>Professional Development/Training</t>
  </si>
  <si>
    <t>Workshops to assist education, corrections and workforce professionals use the websites effectively including ICAP implementation strategies</t>
  </si>
  <si>
    <t>Collective Action Partnerships</t>
  </si>
  <si>
    <t>Support to multi-organizational collaborations to use CIC as the process management and data collection structure.</t>
  </si>
  <si>
    <t>Events</t>
  </si>
  <si>
    <t>College Application Month, College Friday is Decision Day</t>
  </si>
  <si>
    <t>Communication, Promotion, Materials</t>
  </si>
  <si>
    <t xml:space="preserve">CIC Strategic Options Workshop Exercise </t>
  </si>
  <si>
    <t>Focus</t>
  </si>
  <si>
    <t>Value</t>
  </si>
  <si>
    <t xml:space="preserve"> Consensus Score (NA = Not Available,M = Medium, or  H = High)</t>
  </si>
  <si>
    <t>Job / Career Planning</t>
  </si>
  <si>
    <t>NA</t>
  </si>
  <si>
    <t>H</t>
  </si>
  <si>
    <t>Academic Plannning</t>
  </si>
  <si>
    <t>Financial Aid</t>
  </si>
  <si>
    <t>Portfolio</t>
  </si>
  <si>
    <t>Integrated Websites</t>
  </si>
  <si>
    <t>Outreach &amp; Advocacy</t>
  </si>
  <si>
    <t>CDLE/CWDC Cost to keep</t>
  </si>
  <si>
    <t>CDHE Cost to keep</t>
  </si>
  <si>
    <t>CDHS Cost to keep</t>
  </si>
  <si>
    <t>Online Data Updates by colleges</t>
  </si>
  <si>
    <t>Likely could not separate</t>
  </si>
  <si>
    <t>Professional Support</t>
  </si>
  <si>
    <t>Lifelong, transferable</t>
  </si>
  <si>
    <t>Individuals throughout their life and throughout the state may connect to whichever organization or multiple organizations that support them without losing data. Multiple organizational professionals may view each portfolio.</t>
  </si>
  <si>
    <t>July 1 2018 - June 30 2019</t>
  </si>
  <si>
    <t>Post Secondary Planning</t>
  </si>
  <si>
    <t xml:space="preserve">House activities completed, goals set, career and college aspirations, documents and reflections </t>
  </si>
  <si>
    <t>Account creation and integration with local SIS, local course catalog and plans of study, automated grade, credit hour data into plan, export file for schedule requests, data integration to analyze outcomes into postsecondary and workforce, import data into student portfolios</t>
  </si>
  <si>
    <t>Continuous exploration, planning and decision-making framework</t>
  </si>
  <si>
    <t xml:space="preserve">Tools and features that allow continuous and cumulative exploration and planning activities to be presented in a process framework that builds on previous work rather than disparate individual activities </t>
  </si>
  <si>
    <t>User and topic-specific guides and materials, newsletter, training materials as well as promotion to consumers on product availability</t>
  </si>
  <si>
    <t>Of Statewide Interest</t>
  </si>
  <si>
    <t>Underserved Communities</t>
  </si>
  <si>
    <t>Data Integrity and Compliance</t>
  </si>
  <si>
    <t>Comprehensiveness with affordability for disadvantaged populations such as rural, foster and homeless youth, offenders, ex-offenders, unemployed adults, etc.</t>
  </si>
  <si>
    <t>M</t>
  </si>
  <si>
    <t>Informational integrity vetted and monitored for legal status, accuracy and quality by state agencies</t>
  </si>
  <si>
    <t>Financial Literacy</t>
  </si>
  <si>
    <t xml:space="preserve">Fed, FDIC, Banks, </t>
  </si>
  <si>
    <t>Functionality Priorities</t>
  </si>
  <si>
    <t>Priority Populations</t>
  </si>
  <si>
    <t xml:space="preserve">Bandwidth </t>
  </si>
  <si>
    <t>Non-duplicative</t>
  </si>
  <si>
    <t>Value (from last session)</t>
  </si>
  <si>
    <t>Core Platform Requirements</t>
  </si>
  <si>
    <t>Engaging graphics, content and features that are demographically specific</t>
  </si>
  <si>
    <t>Responsive design</t>
  </si>
  <si>
    <t>Personalized</t>
  </si>
  <si>
    <t>Resources and funding clearinghouse</t>
  </si>
  <si>
    <t>Case Management</t>
  </si>
  <si>
    <t xml:space="preserve">Provide search utility, based on identified needs, to resources, both direct and online, including available funding/aid for both living and education costs. Similar to 211 service, provide interface that allows service providers to keep data current </t>
  </si>
  <si>
    <t>Provide the tool to help professionals to administer, collaborate and record their work with users on the systems and during their efforts in general to help customers with career, education and financial planning.</t>
  </si>
  <si>
    <t>Offenders</t>
  </si>
  <si>
    <t>Ex-offenders</t>
  </si>
  <si>
    <t>Foster/homeless</t>
  </si>
  <si>
    <t>Unemployed/adults in transition</t>
  </si>
  <si>
    <t>Address the Belief Gap</t>
  </si>
  <si>
    <t>First generation, low income, minority</t>
  </si>
  <si>
    <t>Determine each user needs through an intake assessment or survey instrument; provide customized activity recommendations and navigation based on the results</t>
  </si>
  <si>
    <t>Pathway and coursework planner</t>
  </si>
  <si>
    <t xml:space="preserve">Understand pathway options </t>
  </si>
  <si>
    <t>Employer and community interface</t>
  </si>
  <si>
    <t>Events that focus attention on and promote the agencies and use of the platform</t>
  </si>
  <si>
    <t>Document external activities</t>
  </si>
  <si>
    <t>Professional Oversight</t>
  </si>
  <si>
    <t>Data aggregation tool</t>
  </si>
  <si>
    <t>Online data updates by colleges</t>
  </si>
  <si>
    <t>Aid for Adults</t>
  </si>
  <si>
    <t>Financial aid information and assistance specifically targeted to adults</t>
  </si>
  <si>
    <t>Academic Planning</t>
  </si>
  <si>
    <t>Test Prep</t>
  </si>
  <si>
    <t>Resources and information for free test preparation - all tests</t>
  </si>
  <si>
    <t>Website Technical Support</t>
  </si>
  <si>
    <t>Technical Support</t>
  </si>
  <si>
    <t>Acknowledgement of and planning for bandwidth constraints in some areas of the state</t>
  </si>
  <si>
    <t>System Security</t>
  </si>
  <si>
    <t>Platform is secure and private; users dictate entities that may view their individual data</t>
  </si>
  <si>
    <t>Middle skills interested</t>
  </si>
  <si>
    <t>STEM interested</t>
  </si>
  <si>
    <t>GED/HSE</t>
  </si>
  <si>
    <t>Facilitate employer and community engagement in providing work-based learning options and mentorships to interested students and adults</t>
  </si>
  <si>
    <t>Text messaging</t>
  </si>
  <si>
    <t>Information and reminders about key dates; age and pathway specific</t>
  </si>
  <si>
    <t xml:space="preserve">Access to the larger Platform site with additional resources and information for incarcerated, ex-offender, homeless and other at risk populations on "Your Life" including housing, transportation, budget and scheduling. </t>
  </si>
  <si>
    <t>Support to multi-organizational collaborations to use Platform as the process management and data collection structure.</t>
  </si>
  <si>
    <t>Features, tools, supports to help marginalized populations to address the belief gap and gain hope that their future outcomes can be optimized</t>
  </si>
  <si>
    <t>Collection, aggregation and analysis of individual aspirational, experience, training/education and skills data with postsecondary and workforce attainment (National Clearinghouse and Wage) data</t>
  </si>
  <si>
    <t xml:space="preserve">Identify, streamline and integrate existing tools and features to avoid redundancy, cost and user confusion. New development should focus on items not currently offered by the collaborative </t>
  </si>
  <si>
    <t>Individuals throughout their life and throughout the state may connect their account to whichever organization or multiple organizations that support them without losing data. Multiple organizational professionals may view each user account if authorized.</t>
  </si>
  <si>
    <t xml:space="preserve">Explore pros and cons of workforce options including skilled trades, professional, technical, military, etc. Help users get past the stigmas and understand the skills, experience, postsecondary education/training to be successful within the option, gap analysis and match to individuals' preferences and characteristics, present job availability and trends, detailed guidance to attain </t>
  </si>
  <si>
    <t>Build a pathways and complementary course planner that helps the student/adult effectively plan and transition through to postsecondary option desired including concurrent enrollment, military and youth apprenticeship options (along with two- and four-year schools), STEM and skilled trades paths</t>
  </si>
  <si>
    <t>Virtual Job Fairs</t>
  </si>
  <si>
    <t>Participate in virtual job fairs within region.</t>
  </si>
  <si>
    <t>Presentation portfolio</t>
  </si>
  <si>
    <t>Presentation-ready online portfolio created from user account for distribution during job or college applications</t>
  </si>
  <si>
    <t>Future State Concepts</t>
  </si>
  <si>
    <t>Critical Transitions Support</t>
  </si>
  <si>
    <t xml:space="preserve">College planning timeline, getting ready for postsecondary resources and articles, college FAQs, reciprocity and exchange program information, off-site resources </t>
  </si>
  <si>
    <t>Browse and detailed Career Clusters, recommended plan of study for cluster/pathways, volunteering and recreation activities for cluster, Detailed Career Profiles (complete O*Net) including military options, Emerging/specialty career profiles, career keyword search, Career Finder query building tool, compare careers side-by-side, career plan builder, off-site links to industry career sites</t>
  </si>
  <si>
    <t>Record notes and documents related to  career, job, education, experiences, projects, goals, self-assessments in guided activities. Online journal, annual snapshots of portfolio</t>
  </si>
  <si>
    <t>For users associated with organization, build and track Local Portfolio Pages (ICAP), milestones and plans of study. Run reports, analyze data, review individual portfolios, administer users and groups, correspond and calendar events for users. Obtain resources</t>
  </si>
  <si>
    <t>Run the same activity, usage and tracking reports as at the single organizational level but aggregated for any organization or combination of organizations in the statewide hierarchy.</t>
  </si>
  <si>
    <t>Comprehensive Financial Aid 101 and repayment information, financial aid calculators including Award Estimator (Colorado Schools), EFC Calculator, Savings Calculator, SLOPE calculator (compare entry-level career earnings to loan debt), build financial aid plans, aid timeline</t>
  </si>
  <si>
    <t>3 million scholarships, targeted search criteria engine, e-mail notices, deadline and award tracking.</t>
  </si>
  <si>
    <t>Compatible with varying devices formats</t>
  </si>
  <si>
    <t>Longitudinal Data Tracking</t>
  </si>
  <si>
    <t>Integration</t>
  </si>
  <si>
    <t>One-time (app like) and over-time use frameworks</t>
  </si>
  <si>
    <t>Structure that facilitates both one-time use as well as fostering continuous and cumulative exploration and planning that builds on previous work - accommodates both long and short term planning</t>
  </si>
  <si>
    <t>Contemporary user interface</t>
  </si>
  <si>
    <t xml:space="preserve">Interoperability and real-time data integration and transfer between and among various tools, features and components regardless of vendor or agency hosting that component </t>
  </si>
  <si>
    <t xml:space="preserve">Practice job application, resume builder, cover letter creator, job interview practice, thank-you letter builder, How-to, examples, get-started worksheets for applications, deep link for career profile to Colorado Zip Recruiter Job Bank, LMI Gateway link  </t>
  </si>
  <si>
    <t>FY2018</t>
  </si>
  <si>
    <t>FY2019</t>
  </si>
  <si>
    <t>Sept</t>
  </si>
  <si>
    <t>Go Forward Timeline</t>
  </si>
  <si>
    <t>College In Colorado Current Services Mix</t>
  </si>
  <si>
    <t xml:space="preserve">Funded </t>
  </si>
  <si>
    <t>Un-funded</t>
  </si>
  <si>
    <t>online presence and scaled down outreach activities continue</t>
  </si>
  <si>
    <t>online presence with bare minimum, current, or expanded staff support</t>
  </si>
  <si>
    <t>Product Development</t>
  </si>
  <si>
    <t>Functionality mix visioning</t>
  </si>
  <si>
    <t>Vendor research</t>
  </si>
  <si>
    <t>Scoping, SOW &amp; RFP creation</t>
  </si>
  <si>
    <t>RFP administration</t>
  </si>
  <si>
    <t>Proposals evaluation &amp; vendor(s) selection</t>
  </si>
  <si>
    <t>Contract(s) negotiation and finalization</t>
  </si>
  <si>
    <t>Product(s) build and/or integration</t>
  </si>
  <si>
    <t>Governance Definition</t>
  </si>
  <si>
    <t>Finalize agency participants</t>
  </si>
  <si>
    <t>Select Structure and legal form</t>
  </si>
  <si>
    <t>Create governing document/constitution</t>
  </si>
  <si>
    <t>Ratify constitution with participating agencies</t>
  </si>
  <si>
    <t>Appoint, convene board</t>
  </si>
  <si>
    <t>Product build and services plan oversight</t>
  </si>
  <si>
    <t>Funding Strategies</t>
  </si>
  <si>
    <t>ID funders FY2019</t>
  </si>
  <si>
    <t>FY2019 funders participate in creating governance structure, RFP proposal evaluation and vendor selection</t>
  </si>
  <si>
    <t>ID funding streams for FY2020-2023, lock in FY2020 funding</t>
  </si>
  <si>
    <t>Lock in funding for FY2021</t>
  </si>
  <si>
    <t>Services Scoping</t>
  </si>
  <si>
    <t>Create outreach, training and communications services plans</t>
  </si>
  <si>
    <t>Hire and/or Train Staff</t>
  </si>
  <si>
    <t>Decommission Timeline</t>
  </si>
  <si>
    <t>User Preparation (Org with CIC assistance)</t>
  </si>
  <si>
    <t>Discontinuance Messaging</t>
  </si>
  <si>
    <t xml:space="preserve">Budget impact estimation, locate and contract with replacement </t>
  </si>
  <si>
    <t>Data Capture via reports &amp; downloads</t>
  </si>
  <si>
    <t>Products Preparation (case by case)</t>
  </si>
  <si>
    <t>Purchase/development to separate, hosting, data transfer, maintenance, user re-training</t>
  </si>
  <si>
    <t>Notes</t>
  </si>
  <si>
    <t>Refugees</t>
  </si>
  <si>
    <t>Rural school districts may not have a 0$, data-integrated option for many of the functionality in CIC</t>
  </si>
  <si>
    <t>Agency</t>
  </si>
  <si>
    <t>Participant</t>
  </si>
  <si>
    <t>E-Mail Address</t>
  </si>
  <si>
    <t>CDHE</t>
  </si>
  <si>
    <t>Diane Duffy</t>
  </si>
  <si>
    <t>Diane.Duffy@dhe.state.co.us</t>
  </si>
  <si>
    <t>Services Design</t>
  </si>
  <si>
    <t>Inta Morris</t>
  </si>
  <si>
    <t>Inta.Morris@dhe.state.co.us</t>
  </si>
  <si>
    <t>Beth Bean</t>
  </si>
  <si>
    <t>Beth.Bean@dhe.state.co.us</t>
  </si>
  <si>
    <t>Governance Structure</t>
  </si>
  <si>
    <t>CDLE</t>
  </si>
  <si>
    <t>Bill Dowling</t>
  </si>
  <si>
    <t>William.Dowling@state.co.us</t>
  </si>
  <si>
    <t>Mark Duey</t>
  </si>
  <si>
    <t>mark.duey@state.co.us</t>
  </si>
  <si>
    <t>Matt Cornett</t>
  </si>
  <si>
    <t>matt.cornett@state.co.us</t>
  </si>
  <si>
    <t>Elise Lowe-Vaughn</t>
  </si>
  <si>
    <t>Elise.Lowe-Vaughn@state.co.us</t>
  </si>
  <si>
    <t>CWDC</t>
  </si>
  <si>
    <t>Stephanie Veck</t>
  </si>
  <si>
    <t>stephanie.veck@state.co.us</t>
  </si>
  <si>
    <t>Lee Wheeler-Berliner</t>
  </si>
  <si>
    <t>lee.wheeler-berliner@state.co.us</t>
  </si>
  <si>
    <t>CDE</t>
  </si>
  <si>
    <t>Misti Ruthven</t>
  </si>
  <si>
    <t>Ruthven_M@cde.state.co.us</t>
  </si>
  <si>
    <t>Paula Gumina</t>
  </si>
  <si>
    <t>Gumina_P@cde.state.co.us</t>
  </si>
  <si>
    <t>Danielle Ongart</t>
  </si>
  <si>
    <t>Ongart_D@cde.state.co.us)</t>
  </si>
  <si>
    <t>CCCS</t>
  </si>
  <si>
    <t>Landon Pirius</t>
  </si>
  <si>
    <t>Landon.Pirius@cccs.edu</t>
  </si>
  <si>
    <t>CCCS - CTE</t>
  </si>
  <si>
    <t>DOC</t>
  </si>
  <si>
    <t>Joan Carson</t>
  </si>
  <si>
    <t>joan.carson@state.co.us</t>
  </si>
  <si>
    <t>Tony Streveler</t>
  </si>
  <si>
    <t>Tony.Streveler@state.co.us</t>
  </si>
  <si>
    <t>David Johnson (DJ)</t>
  </si>
  <si>
    <t>Davidm.Johnson@state.co.us</t>
  </si>
  <si>
    <t>CDHS</t>
  </si>
  <si>
    <t>Jarene Petersen</t>
  </si>
  <si>
    <t>jerene.petersen@state.co.us</t>
  </si>
  <si>
    <t>Trevor Williams</t>
  </si>
  <si>
    <t>trevor.williams@state.co.us</t>
  </si>
  <si>
    <t>CDHS - CHAFEE</t>
  </si>
  <si>
    <t>Derek Blake</t>
  </si>
  <si>
    <t>derek.blake@state.co.us</t>
  </si>
  <si>
    <t>CDHS - TANF</t>
  </si>
  <si>
    <t>Katie Griego</t>
  </si>
  <si>
    <t>katie.griego@state.co.us</t>
  </si>
  <si>
    <t>Ki'I Powell</t>
  </si>
  <si>
    <t>ki'i.powell@state.co.us</t>
  </si>
  <si>
    <t>Project Support</t>
  </si>
  <si>
    <t>Government Performance Solutions</t>
  </si>
  <si>
    <t>Brian Pool</t>
  </si>
  <si>
    <t>brian@governmentperformance.us</t>
  </si>
  <si>
    <t>Facilitator</t>
  </si>
  <si>
    <t>CDHE/CIC</t>
  </si>
  <si>
    <t>Julia Pirnack</t>
  </si>
  <si>
    <t>Julia.Pirnack@cic.state.co.us</t>
  </si>
  <si>
    <t>Project Manager</t>
  </si>
  <si>
    <t>Twyla Esquibel</t>
  </si>
  <si>
    <t>Twyla.Esquibel@cic.state.co.us</t>
  </si>
  <si>
    <t>Administrative Support</t>
  </si>
  <si>
    <t>x</t>
  </si>
  <si>
    <t>Creative long term funding model</t>
  </si>
  <si>
    <t>Secure funding through 1.)Dec. 2018 and/or 2.) June 2018</t>
  </si>
  <si>
    <t>Short-term funding</t>
  </si>
  <si>
    <t>Consolidated Action items</t>
  </si>
  <si>
    <t>On the "Sticky Notes"</t>
  </si>
  <si>
    <t>Paula, Matt, Diane, Inta, Julia</t>
  </si>
  <si>
    <t>Funding</t>
  </si>
  <si>
    <t>Communicate that changes are coming</t>
  </si>
  <si>
    <t>As necessary, discuss collaborative funding with non-agency users such as school districts that are required to provide functionality</t>
  </si>
  <si>
    <t>I.D. mandatory users, notify that it’s no longer free. Invite to collaborate</t>
  </si>
  <si>
    <t>Communicate CIC current status and upcoming process to professionals throughout the state</t>
  </si>
  <si>
    <t>Communicate Plan to current CIC customers by Jan. 2018</t>
  </si>
  <si>
    <t>Communications</t>
  </si>
  <si>
    <t xml:space="preserve">Create legal MOU shared Governance Documents </t>
  </si>
  <si>
    <t>Signed Jan. 1</t>
  </si>
  <si>
    <t>Draft Dec. 1</t>
  </si>
  <si>
    <t>Initial charter exploratory / Planning for</t>
  </si>
  <si>
    <t>Charter</t>
  </si>
  <si>
    <t>Access Tech in use by audience (platform)</t>
  </si>
  <si>
    <t>Research data/security needs</t>
  </si>
  <si>
    <t>Platform Requirements (Mark, Julia)</t>
  </si>
  <si>
    <t>Explore how each product is funded for each user group</t>
  </si>
  <si>
    <t>Gather how do customers prioritize these platforms in their budget</t>
  </si>
  <si>
    <t>Document cost of each product</t>
  </si>
  <si>
    <t>Map current collective spend on similar services</t>
  </si>
  <si>
    <t>Current Product Funding</t>
  </si>
  <si>
    <t>Meet with users to id strengths/weaknesses</t>
  </si>
  <si>
    <t>Gather what are customers using and why?</t>
  </si>
  <si>
    <t>Review Current environment (software)</t>
  </si>
  <si>
    <t>Gather qualitative information about each product</t>
  </si>
  <si>
    <t>Product development. What does it already do?</t>
  </si>
  <si>
    <r>
      <t>Catalog existing products</t>
    </r>
    <r>
      <rPr>
        <b/>
        <sz val="11"/>
        <color theme="1"/>
        <rFont val="Calibri"/>
        <family val="2"/>
        <scheme val="minor"/>
      </rPr>
      <t xml:space="preserve"> </t>
    </r>
  </si>
  <si>
    <t>Inventory current products and services</t>
  </si>
  <si>
    <t>Take inventory of products and services.</t>
  </si>
  <si>
    <t>Product Information</t>
  </si>
  <si>
    <t>Identify significant users – see how they use it. estimate how it will be used</t>
  </si>
  <si>
    <t>Detail business requirements for each agency/unit</t>
  </si>
  <si>
    <t>Identify users/user groups</t>
  </si>
  <si>
    <t>Document workflows -customer based</t>
  </si>
  <si>
    <t>Mandatory Users &amp; Mapped</t>
  </si>
  <si>
    <t>User Workflows</t>
  </si>
  <si>
    <t>By When</t>
  </si>
  <si>
    <t>By Whom</t>
  </si>
  <si>
    <t>How</t>
  </si>
  <si>
    <t>Product and Services</t>
  </si>
  <si>
    <t>career and workforce pathways, including users and the professionals that assist them</t>
  </si>
  <si>
    <t xml:space="preserve">Products and services that relate to exploring and planning education, training, </t>
  </si>
  <si>
    <t>Implementation Items</t>
  </si>
  <si>
    <t>User Group</t>
  </si>
  <si>
    <t xml:space="preserve">Paula, Trevor, Inta, Matt C, Julia, Megan M, Misti R, </t>
  </si>
  <si>
    <t>User Workflows (Software Agnostic)</t>
  </si>
  <si>
    <t>Distinguish between statutory requirements, common and best practices</t>
  </si>
  <si>
    <t>Define future state enhancements to the workflow</t>
  </si>
  <si>
    <t>Detail current state process workflows for each program area</t>
  </si>
  <si>
    <t>Identify functional gaps in product and services</t>
  </si>
  <si>
    <t>Catalog features/functions of each currently used product</t>
  </si>
  <si>
    <t>Catalog features/functions of each other potential products</t>
  </si>
  <si>
    <t>Explore how much staff task time is required to complete workflow (e.g. budget-based workload analysis, or time study)</t>
  </si>
  <si>
    <t>Explore current training costs</t>
  </si>
  <si>
    <t>Detail data, security and technical current and future needs for a centralized system</t>
  </si>
  <si>
    <t>Lee, Diane, Julia</t>
  </si>
  <si>
    <t>Lee, Mark, Trevor, Matt, Julia</t>
  </si>
  <si>
    <t>Develop long-term MOU for governance, funding and data sharing</t>
  </si>
  <si>
    <t>Draft and sign 18-month Charter with CWDC</t>
  </si>
  <si>
    <t>Verify short term development funding (Jan 2018-June 2019)</t>
  </si>
  <si>
    <t>Develop a sustainable long-term funding model (included with RFP)</t>
  </si>
  <si>
    <t>Higher Education/K-12 Education</t>
  </si>
  <si>
    <t>Human Services</t>
  </si>
  <si>
    <t>Justice Involved</t>
  </si>
  <si>
    <t>Requirement/Statute/Program</t>
  </si>
  <si>
    <t>HB05-1057 inform about  COF, HEAR</t>
  </si>
  <si>
    <t>SB09-256 ICAP &amp; CIC acct.</t>
  </si>
  <si>
    <t>HB17-1041 Education leading to jobs</t>
  </si>
  <si>
    <t>Education</t>
  </si>
  <si>
    <t>Pre-release</t>
  </si>
  <si>
    <t>Parole</t>
  </si>
  <si>
    <t>8th grade students &amp; parents</t>
  </si>
  <si>
    <t>High school and 6th grade</t>
  </si>
  <si>
    <t>Talent Pipeline</t>
  </si>
  <si>
    <t>High School</t>
  </si>
  <si>
    <t>Self Knowledge &amp; Goals</t>
  </si>
  <si>
    <t>Goal setting and action planning</t>
  </si>
  <si>
    <t>Job/Career Planning</t>
  </si>
  <si>
    <t>Four-year</t>
  </si>
  <si>
    <t>Two-year</t>
  </si>
  <si>
    <t>Certificate</t>
  </si>
  <si>
    <t>Apprenticeship</t>
  </si>
  <si>
    <t>Military</t>
  </si>
  <si>
    <t>Direct to Work</t>
  </si>
  <si>
    <t>FAFSA</t>
  </si>
  <si>
    <t>COF</t>
  </si>
  <si>
    <t xml:space="preserve">Access to additional resources and information for incarcerated, ex-offender, homeless and other at risk populations on "Your Life" including housing, transportation, budget and scheduling. </t>
  </si>
  <si>
    <t>Colorado ASSET website</t>
  </si>
  <si>
    <t>Outreach and Advocacy</t>
  </si>
  <si>
    <t xml:space="preserve">JOURNEY MAP - </t>
  </si>
  <si>
    <t>Unemployed Adult Archetype</t>
  </si>
  <si>
    <t>Platform Home</t>
  </si>
  <si>
    <t>Areas of Concern Survey</t>
  </si>
  <si>
    <t>Suggested Assistance Partner</t>
  </si>
  <si>
    <t xml:space="preserve">User Portfolio: Results, documents, plans </t>
  </si>
  <si>
    <t>System Suggested Itinerary</t>
  </si>
  <si>
    <t>DHE/CIC Essential Elements Platform</t>
  </si>
  <si>
    <t>Explore/plan career and related education needs</t>
  </si>
  <si>
    <t>Workforce Center</t>
  </si>
  <si>
    <t xml:space="preserve">Explore key industry top Jobs </t>
  </si>
  <si>
    <t>Unemployment claim</t>
  </si>
  <si>
    <t>CWDC: Colorado Training Providers (ETPL)</t>
  </si>
  <si>
    <t xml:space="preserve">Find local programs &amp; WIOA funds </t>
  </si>
  <si>
    <t>CDLE: Labor Market Information</t>
  </si>
  <si>
    <t>Job Vacancy Listings, local occupations in demand</t>
  </si>
  <si>
    <t>Apply for SNAP</t>
  </si>
  <si>
    <t>CCCS: Credit for Prior Learning</t>
  </si>
  <si>
    <t>DHE: Money 101 Financial Literacy</t>
  </si>
  <si>
    <t>Budgeting, Money Management</t>
  </si>
  <si>
    <t>Sub-Persona</t>
  </si>
  <si>
    <t>Profile/survey element</t>
  </si>
  <si>
    <t>Additional Activity/agency connections examples</t>
  </si>
  <si>
    <t>With child in household</t>
  </si>
  <si>
    <t xml:space="preserve">Dependent ages </t>
  </si>
  <si>
    <t>CO Works/TANF, DHS suggested assistance partner</t>
  </si>
  <si>
    <t>Justice involved</t>
  </si>
  <si>
    <t>Criminal record</t>
  </si>
  <si>
    <t>Own Your Future</t>
  </si>
  <si>
    <t>Active duty veteran</t>
  </si>
  <si>
    <t>Veteran status</t>
  </si>
  <si>
    <t>Workforce Veteran services</t>
  </si>
  <si>
    <t>Disabled</t>
  </si>
  <si>
    <t>Disability status</t>
  </si>
  <si>
    <t>Vocation Rehabilitation services</t>
  </si>
  <si>
    <t>No Diploma/HSE</t>
  </si>
  <si>
    <t>HS/HSE Grad Year</t>
  </si>
  <si>
    <t xml:space="preserve">Adult Education/GED </t>
  </si>
  <si>
    <t>Education Option Decision</t>
  </si>
  <si>
    <t>Preferred Ed Option</t>
  </si>
  <si>
    <t>College Admissions Tool/ETPL/College Exploration</t>
  </si>
  <si>
    <t>Sarah Leopold</t>
  </si>
  <si>
    <t>Andy Tucker</t>
  </si>
  <si>
    <t>CDHS-EB</t>
  </si>
  <si>
    <t>Andrew Galloway</t>
  </si>
  <si>
    <t>Fred Franko</t>
  </si>
  <si>
    <t>Colorado Career Trailhead</t>
  </si>
  <si>
    <t>Develop Talent</t>
  </si>
  <si>
    <t>Path To Success</t>
  </si>
  <si>
    <t>Educational Pathways</t>
  </si>
  <si>
    <t>Educational Navigator or Coach</t>
  </si>
  <si>
    <t xml:space="preserve">Advance Colorado </t>
  </si>
  <si>
    <t>Classroom to Career</t>
  </si>
  <si>
    <t>Colorado Map To Careers</t>
  </si>
  <si>
    <t xml:space="preserve">Colorado Educational Map </t>
  </si>
  <si>
    <t>Safe and Career People Pathways</t>
  </si>
  <si>
    <t>Build You Own Pathway</t>
  </si>
  <si>
    <t>Building Pathways</t>
  </si>
  <si>
    <t>My Pathway Planner</t>
  </si>
  <si>
    <t>Creating My Way</t>
  </si>
  <si>
    <t>My Path Coach</t>
  </si>
  <si>
    <t>Path Builder</t>
  </si>
  <si>
    <t>My Way Forward</t>
  </si>
  <si>
    <t>My Pathway Coach</t>
  </si>
  <si>
    <t>Pathway Power</t>
  </si>
  <si>
    <t>My Power Plan</t>
  </si>
  <si>
    <t>Colorado Thrives</t>
  </si>
  <si>
    <t>Plot Your Pathway</t>
  </si>
  <si>
    <t>My Pathway</t>
  </si>
  <si>
    <t>Pathway Planner</t>
  </si>
  <si>
    <t>Fashion Your Passion</t>
  </si>
  <si>
    <t>Launch Pad Colorado</t>
  </si>
  <si>
    <t>Win The Future (WTF)</t>
  </si>
  <si>
    <t xml:space="preserve">Plan Your Future </t>
  </si>
  <si>
    <t>What’s Next</t>
  </si>
  <si>
    <t xml:space="preserve">My Way  </t>
  </si>
  <si>
    <t>My Journey Map</t>
  </si>
  <si>
    <t>NAMES</t>
  </si>
  <si>
    <t>.org available</t>
  </si>
  <si>
    <t>.com available</t>
  </si>
  <si>
    <t>$788 + $15/yr</t>
  </si>
  <si>
    <t>$69.99 + comm</t>
  </si>
  <si>
    <t>Colorado Futures</t>
  </si>
  <si>
    <t>Accessible to parents, professional service providers</t>
  </si>
  <si>
    <t>Best Career Planner Ever</t>
  </si>
  <si>
    <t>WIOA I-B Youth employment &amp; training</t>
  </si>
  <si>
    <t>WIOA Title II Basic Education for Adults</t>
  </si>
  <si>
    <t>WIOA Title III Wagner-Peyser</t>
  </si>
  <si>
    <t>WIOA Title IV Vocational Rehabilitation</t>
  </si>
  <si>
    <t>Facilitate development of career pathways</t>
  </si>
  <si>
    <t>Coordinate workforce and economic development</t>
  </si>
  <si>
    <t>Implement initiatives designed to meet the needs of employers</t>
  </si>
  <si>
    <t>Co-enrollment among core programs, strengthen link between one-stop and unemployment insurance</t>
  </si>
  <si>
    <t>16-24</t>
  </si>
  <si>
    <t>Supportive Services Case Management and/or Documentation</t>
  </si>
  <si>
    <t>Entrepreneurial Skills Training</t>
  </si>
  <si>
    <t>WIOA 1-B Adult, Dislocated Worker Employment &amp; Training</t>
  </si>
  <si>
    <t>English as a second language</t>
  </si>
  <si>
    <t>DreamBuilders</t>
  </si>
  <si>
    <t>ClimbUp</t>
  </si>
  <si>
    <t>My Journey Maker</t>
  </si>
  <si>
    <t>My Path Maker</t>
  </si>
  <si>
    <t>MyPath Plotter</t>
  </si>
  <si>
    <t>My Way Finder</t>
  </si>
  <si>
    <t>Next Steps</t>
  </si>
  <si>
    <t>Next Step Up</t>
  </si>
  <si>
    <t>Pathways To Hope</t>
  </si>
  <si>
    <t>Deliver Dreams</t>
  </si>
  <si>
    <t>Myers Briggs, Kiersey</t>
  </si>
  <si>
    <t>Learning Style Inventory</t>
  </si>
  <si>
    <t>Work Values Sorter</t>
  </si>
  <si>
    <t>Assessments and Surveys</t>
  </si>
  <si>
    <t>GED/High School Equivalency or Graduation</t>
  </si>
  <si>
    <t>Understanding Options after HS Diploma/HSE</t>
  </si>
  <si>
    <t>Occupational/ Technical</t>
  </si>
  <si>
    <t>Industry Certificate</t>
  </si>
  <si>
    <t>College or alternate application processes</t>
  </si>
  <si>
    <t>Other education funding resources</t>
  </si>
  <si>
    <t>Personal financial literacy</t>
  </si>
  <si>
    <t>Financial assistance information</t>
  </si>
  <si>
    <t xml:space="preserve">Housing </t>
  </si>
  <si>
    <t>Transportation</t>
  </si>
  <si>
    <t>Time management</t>
  </si>
  <si>
    <t>Secure personal document storage</t>
  </si>
  <si>
    <t>Data collection and reporting tools</t>
  </si>
  <si>
    <t>Target Population Websites</t>
  </si>
  <si>
    <t>On The Right Path (foster/homeless)</t>
  </si>
  <si>
    <t>Own Your Future (incarcerated, ex-offender)</t>
  </si>
  <si>
    <t>Paid, un-paid, transitional employment (practical work experience)</t>
  </si>
  <si>
    <t>Employability Skills</t>
  </si>
  <si>
    <t>Ensure readiness for postsecondary and workforce success</t>
  </si>
  <si>
    <t>Work study</t>
  </si>
  <si>
    <t>Student loans</t>
  </si>
  <si>
    <t>Grants</t>
  </si>
  <si>
    <t>Understand process</t>
  </si>
  <si>
    <t>Lifelong, transferable internally &amp; externally upon transfer</t>
  </si>
  <si>
    <t>Private and secure</t>
  </si>
  <si>
    <t>Comparative data and reports; previous year to current year</t>
  </si>
  <si>
    <t>Individual profile, electronic database for individual</t>
  </si>
  <si>
    <t>Aligned with Standards</t>
  </si>
  <si>
    <t>Remediation, credit recovery</t>
  </si>
  <si>
    <t>Concurrent Enrollment - benefits, how-to</t>
  </si>
  <si>
    <t>PSD and Charter in ICAP</t>
  </si>
  <si>
    <t>ASVAB</t>
  </si>
  <si>
    <t>HB15-1274 industry driven career pathways</t>
  </si>
  <si>
    <t>Assist students with entering the workforce to fuel economy</t>
  </si>
  <si>
    <t>Explore in-demand industries and top jobs pathways</t>
  </si>
  <si>
    <t xml:space="preserve">Data is current, industry driven, relevant </t>
  </si>
  <si>
    <t>Higher Education Admission Standards (Fall 2019 +)</t>
  </si>
  <si>
    <t>Career Profile data and exploration tools</t>
  </si>
  <si>
    <t>Employment Forecasts</t>
  </si>
  <si>
    <t>Explore schools and training providers profiles, tools</t>
  </si>
  <si>
    <t>At individual invitation, parents, professionals, pre-collegiate providers, employers and postsecondary institutions may view portfolio</t>
  </si>
  <si>
    <t>Record leadership, community service, other positive social/civic work</t>
  </si>
  <si>
    <t>Build course plan related to post sec goals</t>
  </si>
  <si>
    <t>Test preparation and scores</t>
  </si>
  <si>
    <t>Key Outcomes:</t>
  </si>
  <si>
    <t>Understand admissions requirements</t>
  </si>
  <si>
    <t>Services/Workshops Calendar: courses and events</t>
  </si>
  <si>
    <t>Communicate with clients</t>
  </si>
  <si>
    <t>Calendar activities</t>
  </si>
  <si>
    <t>Group and administer cohorts</t>
  </si>
  <si>
    <t>Decrease the dropout rate, increase graduation rates</t>
  </si>
  <si>
    <t>Impact of Education (including financial)</t>
  </si>
  <si>
    <t>Why is education important?</t>
  </si>
  <si>
    <t>Colorado Rises Master Plan</t>
  </si>
  <si>
    <t>Increase Credential Completion, Erase Equity Gaps, Improve Student Success, Invest in Affordability</t>
  </si>
  <si>
    <t>Adults /Institutions</t>
  </si>
  <si>
    <t>Academic Planning (Program of education planning)</t>
  </si>
  <si>
    <t>Primary Audience</t>
  </si>
  <si>
    <t>Budgeting</t>
  </si>
  <si>
    <t>529 Savings Plans</t>
  </si>
  <si>
    <t>Unemployment assistance &amp; application</t>
  </si>
  <si>
    <t>Child care</t>
  </si>
  <si>
    <t>Food Stamps (SNAP)</t>
  </si>
  <si>
    <t>"2.1.1-like" funding resources database</t>
  </si>
  <si>
    <t>Professional Development/Training on tools</t>
  </si>
  <si>
    <t xml:space="preserve">Website Technical Support, </t>
  </si>
  <si>
    <t>Employment Plan</t>
  </si>
  <si>
    <t>Academic Plan</t>
  </si>
  <si>
    <t>Career Plan</t>
  </si>
  <si>
    <t>Learning Communities</t>
  </si>
  <si>
    <t>Online access and support</t>
  </si>
  <si>
    <t>Workforce readiness preparation</t>
  </si>
  <si>
    <t>Pre-employment work-based- and service-learning (internships, etc.)</t>
  </si>
  <si>
    <t>Engage Employers to define opportunities</t>
  </si>
  <si>
    <t>Data to measure system effectiveness</t>
  </si>
  <si>
    <t>Division of Child Welfare (in Foster Care)</t>
  </si>
  <si>
    <t>14 - 17 years old</t>
  </si>
  <si>
    <t>17 - 21 years old</t>
  </si>
  <si>
    <t>Includes Agency Enrollment Requirement</t>
  </si>
  <si>
    <t>Health &amp; Well Being</t>
  </si>
  <si>
    <t>CHIP (Children's Health Insurance Program)</t>
  </si>
  <si>
    <t>Transition Plan</t>
  </si>
  <si>
    <t>Division of Child Welfare (Age Out of Foster Care/ homeless)</t>
  </si>
  <si>
    <t>Life Skills, Living Assistance and Support</t>
  </si>
  <si>
    <t>Community</t>
  </si>
  <si>
    <t>Relationships</t>
  </si>
  <si>
    <t>Tuition Waivers/Vouchers</t>
  </si>
  <si>
    <t>Pre-collegiate support organizations</t>
  </si>
  <si>
    <t>Banking</t>
  </si>
  <si>
    <t>Individual Responsibility Contract</t>
  </si>
  <si>
    <t>Basic Cash Assistance (TANF)</t>
  </si>
  <si>
    <t>Child Care Assistance (CCCAP)</t>
  </si>
  <si>
    <t>HS to Community College for Concurrent Enrollment</t>
  </si>
  <si>
    <t>Job Search strategies &amp; assistance</t>
  </si>
  <si>
    <t>Apprenticeships</t>
  </si>
  <si>
    <t>Client concerns &amp; needs assessment</t>
  </si>
  <si>
    <t>Activity to understand education needed to achieve career goals</t>
  </si>
  <si>
    <t>Explore programs and majors including industry-recognized credentials</t>
  </si>
  <si>
    <t>Create Personalized Plan</t>
  </si>
  <si>
    <t>Professional may add to and record advice in user portfolio</t>
  </si>
  <si>
    <t>Connect to multiple supporting agencies at user invitation</t>
  </si>
  <si>
    <t>Share selected portions of portfolio with colleges and employers</t>
  </si>
  <si>
    <t>Record of Standardized tests, assessments, credentials earned</t>
  </si>
  <si>
    <t>CIC Task Force Funding Commitments</t>
  </si>
  <si>
    <t>Groupings designed to match the Timeline Infographic</t>
  </si>
  <si>
    <t>GO FORWARD</t>
  </si>
  <si>
    <t>DECOMMISSION</t>
  </si>
  <si>
    <t>Financial Commitments for Maintenance of existing site and RFP July 1 2018 - June 30 2019</t>
  </si>
  <si>
    <t>Financial Commitments for Shutdown Costs July 1 - Dec 31 2018</t>
  </si>
  <si>
    <t>Entity</t>
  </si>
  <si>
    <t>Status of Transfer</t>
  </si>
  <si>
    <t>CDHS/Children</t>
  </si>
  <si>
    <t>Pathways Grant (Oct 1, 2018)</t>
  </si>
  <si>
    <t>TOTAL TO DATE</t>
  </si>
  <si>
    <t>Financial Commitments Build and Deploy New Tool Jan 1 2018 - June 30 2019</t>
  </si>
  <si>
    <t>Financial Commitments to maintain new tool July 2019 and beyond</t>
  </si>
  <si>
    <t>Initiative Names</t>
  </si>
  <si>
    <t>…Pathways Alliance</t>
  </si>
  <si>
    <t>Colorado Works</t>
  </si>
  <si>
    <t>ACTION (details)</t>
  </si>
  <si>
    <t>Message to ProCenter Users</t>
  </si>
  <si>
    <t xml:space="preserve">Message to Superintendents &amp; BOCES </t>
  </si>
  <si>
    <t>Targeted Rural Sups and BOCES for one-on-one calls and Focus Groups</t>
  </si>
  <si>
    <t xml:space="preserve">Meeting with Commissioner Garcia </t>
  </si>
  <si>
    <t>CCHE Learning Session (tentative)</t>
  </si>
  <si>
    <t>In May</t>
  </si>
  <si>
    <t>Andrea.Wieland@frontrange.edu</t>
  </si>
  <si>
    <t>Andrea Weiland</t>
  </si>
  <si>
    <t>LeeDel.Cohenour@ccaurora.edu</t>
  </si>
  <si>
    <t>LeeDel Cohenour</t>
  </si>
  <si>
    <t>dstreeter@elevatetheusa.org</t>
  </si>
  <si>
    <t>Dan Streeter</t>
  </si>
  <si>
    <t>Elevate the USA</t>
  </si>
  <si>
    <t>steve.anton@state.co.us</t>
  </si>
  <si>
    <t>Steve Anton</t>
  </si>
  <si>
    <t>Robert Buzogany</t>
  </si>
  <si>
    <t>robert.buzogany@state.co.us</t>
  </si>
  <si>
    <t xml:space="preserve">Pierre Powell </t>
  </si>
  <si>
    <t>Pierre.Powell@dhe.state.co.us</t>
  </si>
  <si>
    <t>sarah.leopold@state.co.us</t>
  </si>
  <si>
    <t>Tucker_A@cde.state.co.us</t>
  </si>
  <si>
    <t>fred.franko@state.co.us</t>
  </si>
  <si>
    <t>andrew.galloway@state.co.us</t>
  </si>
  <si>
    <t>Kimberly Caplan</t>
  </si>
  <si>
    <t>Caplan, Kimberly &lt;KimberlyCaplan@csi.state.co.us&gt;</t>
  </si>
  <si>
    <t>Charter Schools Institute</t>
  </si>
  <si>
    <t>CCA/CCCS</t>
  </si>
  <si>
    <t>FRCC/CCCS</t>
  </si>
  <si>
    <t>DVR</t>
  </si>
  <si>
    <t>People that have left</t>
  </si>
  <si>
    <t>Gov &amp; Funding</t>
  </si>
  <si>
    <t>Products/Services</t>
  </si>
  <si>
    <t>Product/Services</t>
  </si>
  <si>
    <t>Title</t>
  </si>
  <si>
    <t>Gov &amp; Funding, Product/Services</t>
  </si>
  <si>
    <t>Katherine Keegan</t>
  </si>
  <si>
    <t>Katherine Keegan &lt;kkeegan@markle.org&gt;</t>
  </si>
  <si>
    <t>Skillful/Markle</t>
  </si>
  <si>
    <t>Manager, Coaching Community of Practice</t>
  </si>
  <si>
    <t>Chief Operating Officer</t>
  </si>
  <si>
    <t>Chief Advocacy &amp; Outreach Officer</t>
  </si>
  <si>
    <t>Director</t>
  </si>
  <si>
    <t>Office Manager and Program Coordinator</t>
  </si>
  <si>
    <t>Partner</t>
  </si>
  <si>
    <t>‎Director of the Division of Employment and Training</t>
  </si>
  <si>
    <t>Youth Services Administrator</t>
  </si>
  <si>
    <t>Director, Career Services</t>
  </si>
  <si>
    <t>Director, Office of Postsecondary and Workforce Pathways</t>
  </si>
  <si>
    <t>Director of the Colorado Workforce Development Council</t>
  </si>
  <si>
    <t>Section Manager in the Employment &amp; Benefits Division (Policy, Planning, Research &amp; Evaluation) </t>
  </si>
  <si>
    <t>School Programs Specialist</t>
  </si>
  <si>
    <t>Director of Postsecondary Readiness</t>
  </si>
  <si>
    <t>Director of Adult Education</t>
  </si>
  <si>
    <t>Deputy Executive Director for Community Partnerships</t>
  </si>
  <si>
    <t>Director of the Office of Economic Security (OES) </t>
  </si>
  <si>
    <t>Chafee Program Coordinator</t>
  </si>
  <si>
    <t>Division of Employment and Benefits Director</t>
  </si>
  <si>
    <t>Director, Workforce Programs</t>
  </si>
  <si>
    <t>Director of Learning Innovation</t>
  </si>
  <si>
    <t>Career Services Coordinator</t>
  </si>
  <si>
    <t>Megan McDermott</t>
  </si>
  <si>
    <t xml:space="preserve">Director of Communications </t>
  </si>
  <si>
    <t>megan.mcdermott@cic.state.co.us</t>
  </si>
  <si>
    <t>Workforce Education Coordinator</t>
  </si>
  <si>
    <t>MIS Director</t>
  </si>
  <si>
    <t>Regional Manager, Region 1</t>
  </si>
  <si>
    <t>Regional Liaison</t>
  </si>
  <si>
    <t>Co-Assistant Director - Policy and Strategy</t>
  </si>
  <si>
    <t>Associate Director of Education</t>
  </si>
  <si>
    <t>Deputy Director - Adult Parole</t>
  </si>
  <si>
    <t>Assistant Director - Reentry</t>
  </si>
  <si>
    <t xml:space="preserve">DOC </t>
  </si>
  <si>
    <t>Assistance and support using the platform directly to students, parents and adults.</t>
  </si>
  <si>
    <t>Tools and features to use social media or the platform to collaborate among users at their opt in</t>
  </si>
  <si>
    <t>Participate in and convene conferences and events to promote the platform to users and professionals</t>
  </si>
  <si>
    <t>Provide access to online technical and usage support, including chat</t>
  </si>
  <si>
    <t>Ensure that features and tools support to multi-organizational collaborations to use platform as the process management and data collection structure.</t>
  </si>
  <si>
    <t xml:space="preserve">Workshops to assist education, corrections and workforce professionals use the platform effectively </t>
  </si>
  <si>
    <t>Informational website with "calculator" to determine in-state eligibility of students lacking documentation under ASSET and COF, information about DACA</t>
  </si>
  <si>
    <t>Resources and informational website specifically for homeless and foster youth</t>
  </si>
  <si>
    <t>Document other supportive services offered to clients that may not appear on their "journey" of activities or within the education, training and career exploration areas.</t>
  </si>
  <si>
    <t>Features to assist professionals to build and maintain cohorts of users for case management, reporting and analysis purposes.</t>
  </si>
  <si>
    <t>E-mail, text, calendaring interface to allow professionals to communicate with users within the site</t>
  </si>
  <si>
    <t>In order to assist with training and implementation, career and college readiness curriculum including lesson plans, Transition Planning and Special Needs Curriculum, resources, lesson plans and student worksheets for Colorado-specific implementation should accompany activities on the site.</t>
  </si>
  <si>
    <t xml:space="preserve">Activities should include enrollment and eligibility information, as applicable, visible to professional as well as end users. </t>
  </si>
  <si>
    <t xml:space="preserve">For users associated with organization, build and track plan progress and milestones, and plans of study. Run reports, analyze data, review individual portfolios, administer users and groups, correspond and calendar events for users. Obtain professional support resources. Professionals may track case management, planning and outcome details with each user that has elected to connect to their agency or organization. Professionals may post information for other professionals or specific professionals to view. Professionals may also modify a user's activity journey and post comments to a users plan visible to the user. </t>
  </si>
  <si>
    <t>Professional resources and case management tools</t>
  </si>
  <si>
    <t>CollegeInColorado.org</t>
  </si>
  <si>
    <t>An activity should be developed so that individuals may track their leadership, service, network and other types of information that is easily forgotten but important to job and school applications.</t>
  </si>
  <si>
    <t>As possible, all activities should be built using responsive design so that the activities are usable in smaller electronic formats including phone. Key activities as appropriate could be offered as stand-alone apps in addition to as part of the integrated system.</t>
  </si>
  <si>
    <t>As a user builds their profile and adds items to their portfolio, they may designate applicable items to be visible to colleges, employers, or both upon an export during a job search or admissions application. Two templates should be available to place the applicable items in a professional format for that use. The user should be able to edit the items, if desired, once the output is created.</t>
  </si>
  <si>
    <t>Users may connect their portfolio to multiple other agencies, professionals or accounts at their discretion (consideration must be given to youth vs. adult capabilities). Connected organizations may view the user's plans, documents, activity results unless the user has specifically indicated the item is private/locked.</t>
  </si>
  <si>
    <t xml:space="preserve">Professional users may track case management, planning and outcome details with each user that has elected to connect to their agency or organization. Professionals may post information for other professionals or specific professionals to view. Professionals may also modify a user's activity journey and post comments to a users plan visible to the user. </t>
  </si>
  <si>
    <t>Tools and features that help professional users and agencies measure use of the system along with success of users; aspirational, qualitative and quantitative data storage and comparisons to other data sets such as National Clearing House postsecondary enrollment and completion and employment and wage data.</t>
  </si>
  <si>
    <t>For younger students, provisions for security and privacy must meet FERPA and COPPA requirements. Additional considerations must be built in for other protected populations such as students with disabilities. Appropriate measures to protect privacy for adults must also be provided.</t>
  </si>
  <si>
    <t>Regardless of what an agency may call it, the system should be able to build a navigable "journey" of appropriate activities for each user based on their individual characteristics; client concerns and needs survey, and activities as completed. The system would present a series of activities to the user based upon profile characteristics that could be modified over time, as well as by a supporting professional or the user themself. In addition, the system would identify the agency best suited for a user first visit for in-person assistance and allow real-time data integration with each connected agency. Each connected agency would be able to view the individual's portfolio and access the data collected in it.</t>
  </si>
  <si>
    <t xml:space="preserve">Online individual portfolio/profile that house activities completed, goals set, career and college aspirations, important documents, project work, demographic information and reflections. Contains a unique primary identifier to avoid duplication of accounts and multiple methods to access and authenticate my account. </t>
  </si>
  <si>
    <t>Content, activities and resource links and information to help individuals engage in their community and civic life.</t>
  </si>
  <si>
    <t>Content, activities and resource links and information to help individuals find and afford transportation.</t>
  </si>
  <si>
    <t>Content, activities and resource links and information to help individuals find and afford medical, dental and mental care.</t>
  </si>
  <si>
    <t>Content, activities and resource links and information to help individuals learn time management skills.</t>
  </si>
  <si>
    <t>Content, activities and resource links and information to help individuals find and afford childcare.</t>
  </si>
  <si>
    <t>Content, activities and resource links and information to help individuals find and afford appropriate housing.</t>
  </si>
  <si>
    <t xml:space="preserve">This feature would allow funders and resource providers to enter information about their funds available to individuals, eligibility criteria and contact information to populate a database with this info. The tool would also provide a search feature against this database for individuals that need funding assistance to recommend certain resources to the user. </t>
  </si>
  <si>
    <t>United Way 2.1.1 service for social service agencies</t>
  </si>
  <si>
    <t>Money101.org, MoneyWi$e</t>
  </si>
  <si>
    <t>Search for scholarships based on user criteria, store scholarships of interest, remind students of deadlines, help students understand the application process, track applications, notify students when new scholarships are listed, record scholarships received in portfolio.</t>
  </si>
  <si>
    <t>Scholarship Finder on CIC.org, FastWeb</t>
  </si>
  <si>
    <t>Help eligible Colorado students understand and apply for the College Opportunity Fund, data transfer to update portfolio with filing date.</t>
  </si>
  <si>
    <t>DHE COF application site</t>
  </si>
  <si>
    <t>Help students of all ages understand how critical filing the FAFSA is and the process to do so, data transfer to update portfolio with filing dates</t>
  </si>
  <si>
    <t>FAFSA Module, FAFSA When? Calculator on CIC.org</t>
  </si>
  <si>
    <t>Activity to help students and parents understand and apply for college savings plans.</t>
  </si>
  <si>
    <t>College Invest</t>
  </si>
  <si>
    <t>Comprehensive Financial Aid and repayment information for all types of student aid to help students of all ages and parents understand the process, eligibility requirements, pros and cons. Calculators to help estimate aid package, loan debt to future income, savings etc. should be included.</t>
  </si>
  <si>
    <t xml:space="preserve">Financial Aid 101 and calculators (CIC.org), Federal Student Aid </t>
  </si>
  <si>
    <t>Apply online, get ready to apply, ask institutions for information</t>
  </si>
  <si>
    <t>Know where to get help preparing for college</t>
  </si>
  <si>
    <t>Activity to help users assess and build a submittal to receive credit for prior learning/work experiences.</t>
  </si>
  <si>
    <t>PLA Credit Dashboard (CCCS)</t>
  </si>
  <si>
    <t>Get credit for prior work and education</t>
  </si>
  <si>
    <t>Prior Learning Assessment Credit</t>
  </si>
  <si>
    <t>Activities and curriculum that help prospective students prepare for academic and military tests at all levels including where tests may be taken and supportive services available.</t>
  </si>
  <si>
    <t xml:space="preserve">Khan Academy, ASVAB Practice test online, </t>
  </si>
  <si>
    <t xml:space="preserve">Careers In Colorado, </t>
  </si>
  <si>
    <t>Understand competencies expected by occupations and employers and those gained from completing programs of study</t>
  </si>
  <si>
    <t>Activities and content that help users find programs available at their local level from all types of institutions including certificate (both college and industry), two- and four-year degree, and apprenticeship programs. Information regarding which programs are appropriate for occupations and other tools such as keyword searches, browse by cluster or career, credential level achieved by each program, costs and performance of programs by provider, schools in Colorado and nationwide that offer the program.</t>
  </si>
  <si>
    <t>Colorado Training Provider (ETPL), CIC.org program profiles &amp; query tools, Careers In Colorado</t>
  </si>
  <si>
    <t>Understand which programs/majors and credentials will help gain occupation</t>
  </si>
  <si>
    <t xml:space="preserve">Understand transfer admissions </t>
  </si>
  <si>
    <t>Understand Freshman admissions</t>
  </si>
  <si>
    <t>Activities to help potential students view education and training providers of all kinds, both Colorado and nationally. Activities should allow users to browse, customize searches and include both summary and detailed profiles for Colorado and nationwide schools/providers. Comparison tools and matching to user preferences should also be available. Training available through the military and apprenticeship opportunities should be readily available and searchable by occupation.</t>
  </si>
  <si>
    <t>Colorado Training Provider (ETPL), College Admissions Tool, CIC.org school profiles &amp; query tools, Careers In Colorado</t>
  </si>
  <si>
    <t>Content and interactive tools and activities that help students of all ages understand the pros and cons of various options after high school diploma/HSE including educational, work and military options. These could include college planning timelines, content to help students get ready for postsecondary options, college FAQs, reciprocity and exchange program information, other resources</t>
  </si>
  <si>
    <t>CIC.org College Planning, College Admissions Tool,</t>
  </si>
  <si>
    <t>Activity to help users understand how important a diploma or HSE is and if no longer in high school, how to and from whom to obtain their GED/HSE including preparation and classes available through Adult Education.</t>
  </si>
  <si>
    <t>Identify provider and gain GED/HSE</t>
  </si>
  <si>
    <t>Locally available resources for English language acquisition plus overall product availability in multiple languages.</t>
  </si>
  <si>
    <t>Google Translate on CIC.org</t>
  </si>
  <si>
    <t>Identify provider and gain English language skills</t>
  </si>
  <si>
    <t>Help middle school students and parents prepare for high school</t>
  </si>
  <si>
    <t>Help user understand these items</t>
  </si>
  <si>
    <t xml:space="preserve">Verified and validated high school to high school, high school to college, college to college transcripts of course work. </t>
  </si>
  <si>
    <t>Prepare and send transcripts</t>
  </si>
  <si>
    <t>Data transfer and integration between portfolio and a local providers student information system including local course catalog and plans of study, automated grade, credit hour data into course plan, export file for student schedule requests, analysis of student postsecondary and workforce outcomes, import data, such as test scores and FAFSA completion into student portfolios</t>
  </si>
  <si>
    <t>Integrate SIS with student online planning tools</t>
  </si>
  <si>
    <t>Student information system integration</t>
  </si>
  <si>
    <t>Help students understand the benefits of CE as well as help schools document that students were offered this opportunity. Include planning, by grade level, through two years post-secondary, in a coursework planning tool. Provide tool to allow schools (high and community colleges) to enter locally available CE opportunities and degrees available.</t>
  </si>
  <si>
    <t>Checklist and worksheet for CE opportunities in CIC.org, informational content available on CDE website</t>
  </si>
  <si>
    <t>Learn about concurrent enrollment opportunities</t>
  </si>
  <si>
    <t>Study skills lessons and curriculum and other skills and habits, such as test taking strategies, that foster success in education</t>
  </si>
  <si>
    <t>Learn skills to help academic achievement</t>
  </si>
  <si>
    <t>Study skills, other supporting academic skills</t>
  </si>
  <si>
    <t>Directory of locally available tutoring or mentoring support by subject area or needs; sorted/entered by local providers or organizations, including employers.</t>
  </si>
  <si>
    <t>Find academic assistance</t>
  </si>
  <si>
    <t>Tutoring/mentoring directory</t>
  </si>
  <si>
    <t>The case management tools proposed for the product should include the ability to itemize or select dropout and recovery strategies and to track how specific students have used the strategies and monitor success.</t>
  </si>
  <si>
    <t>Suggest strategies to students at risk</t>
  </si>
  <si>
    <t>Dropout prevention and recovery strategies</t>
  </si>
  <si>
    <t>Ensure potential students are familiar with these agreements that allow students to graduate from a community college with a 60-credit Associate of Arts (AA) or Associate of Science (AS) degree and enroll with junior status at a university and complete the bachelor’s degree in no more than an additional 60 credits (for a total of 120 credits).</t>
  </si>
  <si>
    <t>https://highered.colorado.gov/Academics/Transfers/TransferDegrees.html</t>
  </si>
  <si>
    <t>Transfer Degree Agreements</t>
  </si>
  <si>
    <t>https://highered.colorado.gov/Academics/Transfers/gtPathways/curriculum.html</t>
  </si>
  <si>
    <t>Find out which courses are guaranteed to transfer for credit</t>
  </si>
  <si>
    <t>Guaranteed Transfer Pathways</t>
  </si>
  <si>
    <t xml:space="preserve">Coursework planning by subject &amp; grade, locally customizable plans of study, course catalog, graduation requirements and on-track tracking, comparison to college entrance expectations, parental sign off &amp; tracking, concurrent enrollment through associates degree tracking including credential identification and completion, provider and class location </t>
  </si>
  <si>
    <t>High School Plan of Study matrix on CIC.org</t>
  </si>
  <si>
    <t>High School course planning</t>
  </si>
  <si>
    <t>Available and duplicated on many sites, these tools are essential to help users prepare to look for and land a job. Activities in this area should help users combine the information about their previous work experience and skills that have been recorded in their portfolio into building and updating a current resume, application and cover letter. There should also be advice and assistance in using or modifying social media platforms productively such as Facebook and Linked In.</t>
  </si>
  <si>
    <t>Practice job applications, resume builders, cover letter creator, job interview practice, thank-you letter builder, How-to, examples, get-started worksheets for applications, automated search from career profile to Job Banks</t>
  </si>
  <si>
    <t>Prepare for employment search</t>
  </si>
  <si>
    <t>Users should be able to post resumes and provide links to an appropriate portion of their portfolio for which employers view and schedule interviews</t>
  </si>
  <si>
    <t>Connecting Colorado Employment portal</t>
  </si>
  <si>
    <t>Create and post resumes in response to job postings</t>
  </si>
  <si>
    <t>Virtual job fairs on Workforce Center sites</t>
  </si>
  <si>
    <t>Find and attend Job Fairs</t>
  </si>
  <si>
    <t>ACHIEVEWORKS Employability Skills</t>
  </si>
  <si>
    <t>Gain employability skills</t>
  </si>
  <si>
    <t>Gain understanding of unique characteristics and match to entrepreneurial work</t>
  </si>
  <si>
    <t>As above plus record certification status in profession.</t>
  </si>
  <si>
    <t>Record experiences in Portfolio in CIC.org</t>
  </si>
  <si>
    <t xml:space="preserve">Record experiences and skills gained </t>
  </si>
  <si>
    <t>As above</t>
  </si>
  <si>
    <t>As above plus user tools to track their work history, likes and dislikes about each, skills attained, upload artifacts from the experience.</t>
  </si>
  <si>
    <t>Employers enter jobs available and work-based learning opportunities such as internships; user should be able to browse, access and establish conversation (how would this work for minors?</t>
  </si>
  <si>
    <t>Connecting Colorado Employer job portal</t>
  </si>
  <si>
    <t>Method for employers to enter job and learning opportunities</t>
  </si>
  <si>
    <t>When evaluating career choices, users should be able to view a recommended course plan at the high school level along with concurrent enrollment opportunities appropriate, programs and majors that are recommended for postsecondary study, along with credential level expected and further licensure or on the job training required.</t>
  </si>
  <si>
    <t>Career profiles with "What to Learn" information on CollegeInColorado.org, Careers In Colorado for specific industries</t>
  </si>
  <si>
    <t>Understand educational and licensure requirements for careers</t>
  </si>
  <si>
    <t>Colorado's economy depends on skilled labor across many key industries. To fill this labor pipeline, CWDC works with employers in regions across the state to define top jobs and critical occupations as well as the education, skills and competencies required to attain those jobs. This activity should help users get excited about the industry, map out the career pathways available to them, including finding programs/majors in continuing their education to qualify for jobs along the pathway.</t>
  </si>
  <si>
    <t>Careers In Colorado interactive pathway maps (IT, Construction/Trades, Healthcare, business operations, cybersecurity) include skills, qualifications, experience and educational requirements for Colorado top jobs in each pathway along with programs available (ETPL interface), Energy Microsite</t>
  </si>
  <si>
    <t>Understand which careers exist in Colorado's key industries and how into get them</t>
  </si>
  <si>
    <t>Labor Market Information (LMI), OES from Bureau of Labor Statistics (BLS)</t>
  </si>
  <si>
    <t xml:space="preserve">Use data to help users draw conclusions about their region, lifestyle, etc. not just raw data but salary/wage with respect to cost of living. </t>
  </si>
  <si>
    <t>OES (Occupational Employment Statistics from Bureau of Labor Stats (BLS)</t>
  </si>
  <si>
    <t>Salary/Wage data</t>
  </si>
  <si>
    <t>Methods to browse, filter and understand the world of work including career clusters: profiles, recommended high school or concurrent enrollment plans of study, volunteering and recreation activities, and for careers: detailed career profiles including military options, emerging/specialty careers, keyword searches, compare side-by-side, links to specific industry sites</t>
  </si>
  <si>
    <t xml:space="preserve">Burning Glass and O*Net career profiles, Career Finder query builder, Career Plan Builder </t>
  </si>
  <si>
    <t>Activity that helps the user identify productive or poisonous relationships along with how to make and keep important personal and social support systems including networks.</t>
  </si>
  <si>
    <t>Your Life&gt;Your People on OwnYourFuture</t>
  </si>
  <si>
    <t xml:space="preserve">Personal and social support </t>
  </si>
  <si>
    <t>Setting goals across career, academic, social, lifestyle, etc. along with creating action plans to achieve each goal.</t>
  </si>
  <si>
    <t>My Goals (with SMART interface) and action plans on CIC.org</t>
  </si>
  <si>
    <t>Set goals and create action plans</t>
  </si>
  <si>
    <t>This activity would help a user understand financial benefits of different levels and types of education as well as cost and benefit trade-offs with various types of credentials and institutions.</t>
  </si>
  <si>
    <t>Identify Work values</t>
  </si>
  <si>
    <t>Identify Personality</t>
  </si>
  <si>
    <t>Typically questionnaires that help the user determine how they prefer to learn</t>
  </si>
  <si>
    <t>Identify preferred Learning Styles</t>
  </si>
  <si>
    <t>Assessment that combines aptitudes (natural ability or talent to do something) + interests to make career &amp; educational program recommendations and personal insights</t>
  </si>
  <si>
    <t xml:space="preserve">YouScience </t>
  </si>
  <si>
    <t>Assess Aptitudes</t>
  </si>
  <si>
    <t xml:space="preserve">Surveys and assessments that help the user evaluate their employability skills ("soft," foundational, work-readiness skills) that include basic academic skills such as reading and writing, thinking skills such as reasoning and problem solving and personal qualities such as integrity and self control as well as those skills that a person has that transfer to other types of work. </t>
  </si>
  <si>
    <t>Basic Skills Survey, Transferable Skills Checklist, AchieveWORKS Employability Skills</t>
  </si>
  <si>
    <t>Assess Skills</t>
  </si>
  <si>
    <t>TABE, O*Net Ability Profiler</t>
  </si>
  <si>
    <t>Assess Abilities</t>
  </si>
  <si>
    <t xml:space="preserve">Activities the user likes, personal qualities and school subjects helps the system suggest top career clusters to explore. </t>
  </si>
  <si>
    <t>Identify Career Cluster</t>
  </si>
  <si>
    <t>Pairin, Interest Profiler, Career Key, O*Net Interest Profiler</t>
  </si>
  <si>
    <t>Assess Interests</t>
  </si>
  <si>
    <t>A pre-survey administered to the user that asks them about their top concerns and needs currently. This would start building user profile that allows the system to create the activity selection and personalization</t>
  </si>
  <si>
    <t>Own Your Future "Start Here" questionnaire</t>
  </si>
  <si>
    <t>Shortcomings, which Product which website</t>
  </si>
  <si>
    <t>Favorite Product Name &amp; Website Location/Name</t>
  </si>
  <si>
    <t>More Detailed Description (why, what) of activity</t>
  </si>
  <si>
    <t>Examples of Products</t>
  </si>
  <si>
    <t>Activity Summary</t>
  </si>
  <si>
    <t>Category of Activity</t>
  </si>
  <si>
    <t>K-12</t>
  </si>
  <si>
    <t>WIOA</t>
  </si>
  <si>
    <t>System/Technology Requirements</t>
  </si>
  <si>
    <t>Characteristic</t>
  </si>
  <si>
    <t>Burning Glass, COTrainingProviders.org (ETPL)</t>
  </si>
  <si>
    <t>Data for career profiles, skills, experience and competencies required in jobs, college and program information should be up to date, regionally specific, driven by industry employers and or education providers, and delivered in a user-friendly format.</t>
  </si>
  <si>
    <t>Wrap-around/direct services</t>
  </si>
  <si>
    <t>Single Sign-on</t>
  </si>
  <si>
    <t>Users should be able to use the same set of credentials (username and password or surrogate) to navigate throughout the system regardless of one which agency platform an activity or feature is housed</t>
  </si>
  <si>
    <t>Data Exchange/API (preferred) or batch</t>
  </si>
  <si>
    <t>Ad Hoc Surveys</t>
  </si>
  <si>
    <t>Professionals should be able to create short surveys to send out to attached users or cohorts including result analysis and storage</t>
  </si>
  <si>
    <t>Work-based learning/skills attainment vs. academic learning</t>
  </si>
  <si>
    <t>Understand all options available for additional learning</t>
  </si>
  <si>
    <t>Activity related to the various ways that skills may be attained; through work, through education and training, including alternate pathways to help those that may need to get to work faster.</t>
  </si>
  <si>
    <t>Reminder system</t>
  </si>
  <si>
    <t>Activities on a personalized plan should carry a feature to set time of completion expectations; visible and trackable by user and supporting professionals. A reminder system should be implemented to assist the user with scheduling their work.</t>
  </si>
  <si>
    <t>The system should select, where age or level of user is know, activities designed for the appropriate age of the user - if alternate content or features are available</t>
  </si>
  <si>
    <t xml:space="preserve">Age/developmentally appropriate </t>
  </si>
  <si>
    <t xml:space="preserve">Adequate storage capacity </t>
  </si>
  <si>
    <t>Individuals' work, transactions, data from external sites, documents and projects</t>
  </si>
  <si>
    <t xml:space="preserve">Visual design, navigation </t>
  </si>
  <si>
    <t>Online assistance</t>
  </si>
  <si>
    <t>508 compliant</t>
  </si>
  <si>
    <t xml:space="preserve">Compliance to the degree possible with 508 standards </t>
  </si>
  <si>
    <t>Statewide common identifier</t>
  </si>
  <si>
    <t>In order to preserve integrity in data associated with the platform and reduce duplicate accounts, agencies must use a common identifier for users in the system that directly relates to users in agencies' system</t>
  </si>
  <si>
    <t>Data Characteristics</t>
  </si>
  <si>
    <t>FERPA/COPPA compliant</t>
  </si>
  <si>
    <t>Desktop and mobile use enabled</t>
  </si>
  <si>
    <t>Data sharing capacity</t>
  </si>
  <si>
    <t>Simple, intuitive</t>
  </si>
  <si>
    <t>Data, documents, images</t>
  </si>
  <si>
    <t>Appropriate content, graphics and data selection</t>
  </si>
  <si>
    <t>Technical and use</t>
  </si>
  <si>
    <t>Users with disabilities</t>
  </si>
  <si>
    <t>A. User Interface Activities and Characteristics</t>
  </si>
  <si>
    <t>Data reports &amp; downloads</t>
  </si>
  <si>
    <t>Continue working on balance of FY2019 funding and sustained funding stream</t>
  </si>
  <si>
    <t>Update charter</t>
  </si>
  <si>
    <t>Develop proposal for longer term governance model</t>
  </si>
  <si>
    <t>Charter signed</t>
  </si>
  <si>
    <t>Prepare design package</t>
  </si>
  <si>
    <t>Review RFI and select most viable architecture</t>
  </si>
  <si>
    <t>Release RFI to vendors</t>
  </si>
  <si>
    <t>Finalize RFI with focus group input</t>
  </si>
  <si>
    <t>Draft RFI</t>
  </si>
  <si>
    <t>Final go-forward/ stop decision</t>
  </si>
  <si>
    <t>Complete focus groups, tally results</t>
  </si>
  <si>
    <t>Conduct focus groups and one-on-ones</t>
  </si>
  <si>
    <t>Complete focus group materials</t>
  </si>
  <si>
    <t>June</t>
  </si>
  <si>
    <t>April 16-30</t>
  </si>
  <si>
    <t>April 1-15</t>
  </si>
  <si>
    <t>March 16-31</t>
  </si>
  <si>
    <t>Mar 1-15</t>
  </si>
  <si>
    <t>FY2019 funders participate in creating governance structure, RFI evaluation and architecture selection</t>
  </si>
  <si>
    <t>Create and administer RFP; evaluation &amp; vendor(s) selection</t>
  </si>
  <si>
    <t>Revisit go-forward per RFI results</t>
  </si>
  <si>
    <t>Scoping, SOW &amp; RFI administration</t>
  </si>
  <si>
    <t>online presence with bare minimum staff support</t>
  </si>
  <si>
    <t>Unfunded</t>
  </si>
  <si>
    <t>Commitments Received</t>
  </si>
  <si>
    <t>Charter School Institute</t>
  </si>
  <si>
    <t>Ensure foster youth have every opportunity to fulfill their potential</t>
  </si>
  <si>
    <t>Interest assessments/surveys that help the user identify their interests and how they relate to the world of work</t>
  </si>
  <si>
    <t>These surveys help the user identify what is most important or valuable to them in work situations such as achievement, recognition, support and the like.</t>
  </si>
  <si>
    <t>Data to help users draw conclusions about their opportunities in their region including job availability and industry employers</t>
  </si>
  <si>
    <t>Entrepreneurial checklist on CIC.org</t>
  </si>
  <si>
    <t>In addition to helping the user understand the differences, pros and cons about becoming an entrepreneur, there should be activities that help the user identify whether they have the personality and skills to be successful as an entrepreneur.</t>
  </si>
  <si>
    <t>Job employability and retention skills such as on the job behavior, problem solving, attendance, timeliness are skills employers often say are essential but missing in job seekers.</t>
  </si>
  <si>
    <t>A GT Pathway activity would help potential students understand how to evaluate which Advanced Placement, concurrent enrollment and International Baccalaureate courses taken will always transfer and apply to requirements in associates and most bachelor's degrees at every public Colorado college and university. GT Pathways does not apply to all degrees.</t>
  </si>
  <si>
    <t>Review community college programs guaranteed to be accepted to four-year</t>
  </si>
  <si>
    <t>Activity to explain the placement tests associated with establishing postsecondary coursework readiness and information on remediation and credit recovery coursework including financial aid applicability.</t>
  </si>
  <si>
    <t>A comprehensive activity that would help middle school students and their parents with what to expect in high school including a high school planning timeline, concurrent enrollment information, graduation guidelines and requirements, plus strategies to succeed in high school such as homework helper resources and locally available mentoring and tutoring resources.</t>
  </si>
  <si>
    <t>Activities and content to help user understand the difference between schools that have certain admissions standards vs. those that don't. Should also allow students to compare and contrast schools and how their own characteristics, such as GPA, test scores and coursework compare to admissions requirements for four-year colleges at least in Colorado and for both freshman and transfer students. Additional planning tools to help students prepare for their specific choices of school would be desirable.</t>
  </si>
  <si>
    <t>Relate skills and competencies required by jobs to which programs will fulfill them.</t>
  </si>
  <si>
    <t>Users should be able to understand for each occupation what employers expect in terms of competencies and skills. Users should also be able to compare that information to competencies and skills that they have currently and which they may obtain through taking a program or major.</t>
  </si>
  <si>
    <t>AP, IB, ACCUPLACER, etc.</t>
  </si>
  <si>
    <t>Activity to help students understand which college/postsecondary support services are available locally, such as GEARUp and AVID, along with requirements and eligibility and contact information.</t>
  </si>
  <si>
    <t>Activity to help potential students understand the application process for all postsecondary educational options along with tracking an application process and applications completed, pulling together and tracking information (such as transcripts, references, personal statement and resume) needed for and practicing applications, and ability to apply online. Tools should include a method for students to solicit information from institutions of interest.</t>
  </si>
  <si>
    <t>Online financial literacy courses that include interactive exercises and content to help users gain money management, budgeting, theft control and other financial literacy skills. Should include certificates of completion and a facilitator system so that results can be proven. Must be consistent with Colorado FPL standards.</t>
  </si>
  <si>
    <t>Activity to assist users with understanding eligibility and make application for unemployment assistance.</t>
  </si>
  <si>
    <t>Activity to assist users with understanding eligibility and make application for food stamps.</t>
  </si>
  <si>
    <t>Medicaid</t>
  </si>
  <si>
    <t>Activity to assist users with understanding eligibility and make application for Medicaid.</t>
  </si>
  <si>
    <t>Activity to assist users with understanding eligibility and make application for Child Care assistance.</t>
  </si>
  <si>
    <t>Activity to assist users with understanding eligibility and make application for children's health insurance.</t>
  </si>
  <si>
    <t xml:space="preserve">Tools and features that allow continuous and cumulative exploration and planning activities to be presented in a process framework that builds on previous work rather than just providing a clearinghouse of disparate individual activities. While this type of framework is desirable, users should be able to view and select one activity for quick use as well.  </t>
  </si>
  <si>
    <t>Use of unique primary key in profile (SASID and SSN for adults) will allow FAFSA completion date, Advanced Placement, International Baccalaureate, ACT, SAT, GRE, Workkeys, scores and credentials to be electronically transferred to profile from agency data if available and user/parent opted in. Activities for test scores should include helping the user understand the scores and make use of them to advise coursework planning or to determine on track for graduation or admissions and success of school or district-wide initiatives such as concurrent enrollment, FAFSA completion, work-based learning.</t>
  </si>
  <si>
    <t>Relational database data storage and storage of activity data as transactions to foster ease of ad hoc reporting and comparative analysis across the history of use by the user.</t>
  </si>
  <si>
    <t>Record notes and upload documents related to  career, job, education, experiences, projects, goals, self-assessments in guided activities. Ability to upload personal documents such as credit report, medical needs/records, transcripts, etc. and select whether visible to others.</t>
  </si>
  <si>
    <t>Provide a calendaring an registration system for courses, workshops and events offered by local providers that would appear as recommendations on the user's "journey".</t>
  </si>
  <si>
    <t>Specific pre-identified data elements from activities, regardless on which agency platform the activity is completed, must be able to be exchanged and stored in user profile and potentially on agency site</t>
  </si>
  <si>
    <t>Promote self-directed autonomous use and use with professional guidance</t>
  </si>
  <si>
    <t>Online assistance/help system should be available to help autonomous users</t>
  </si>
  <si>
    <t>Tests  administered to assess the knowledge and skills of adult learners such as reading, math, language, vocabulary, science and spatial ability, motor coordination and manual dexterity</t>
  </si>
  <si>
    <t>Personality assessments measure an individuals personal characteristics or traits such as emotional states, motivations, attitudes and approaches to relationships.</t>
  </si>
  <si>
    <t>Anything else you want us to know?</t>
  </si>
  <si>
    <t>Any activities we missed?</t>
  </si>
  <si>
    <t>Name:</t>
  </si>
  <si>
    <t xml:space="preserve">Title: </t>
  </si>
  <si>
    <t>Organization:</t>
  </si>
  <si>
    <t>Conventional and social platforms authentication/sign in</t>
  </si>
  <si>
    <t>Life Skills</t>
  </si>
  <si>
    <t>Online portfolio</t>
  </si>
  <si>
    <t>Portfolio Characteristics</t>
  </si>
  <si>
    <t>Portfolio Data</t>
  </si>
  <si>
    <t>Characteristics of Professional Tools</t>
  </si>
  <si>
    <t>Activities should be consistent with applicable academic and industry workforce standards and practices such as ASCA, Graduation Guidelines, ICAP, Competency models</t>
  </si>
  <si>
    <t>B. System/Technology Requirements</t>
  </si>
  <si>
    <t>CWDC: ConnectingColorado</t>
  </si>
  <si>
    <t>Register, Upload Application &amp; Resume</t>
  </si>
  <si>
    <t>CUBS: CO Unemployment Benefits System</t>
  </si>
  <si>
    <t>Sub-personas (Possible as additional profile info provided)</t>
  </si>
  <si>
    <t>Individualized Plan</t>
  </si>
  <si>
    <t>(Works) Some tension with our employment focus possibly</t>
  </si>
  <si>
    <t>Of most value, probably, is info on areas of employmnet opportunity and growth.</t>
  </si>
  <si>
    <t>I don't know enough about how important or effective these strategies/services are</t>
  </si>
  <si>
    <t>Important but probably in someone else's wheelhouse. We would refer this service out (Works)</t>
  </si>
  <si>
    <t>Would be relavant for some, but we'd probably refer out (Works)</t>
  </si>
  <si>
    <t>Probably already established for Works participants</t>
  </si>
  <si>
    <t>Maybe goals more than advice.</t>
  </si>
  <si>
    <t>H+</t>
  </si>
  <si>
    <t>Would rather embed this (Child Welfare)</t>
  </si>
  <si>
    <t>Cassey Life Skills</t>
  </si>
  <si>
    <t>PRT/CRT Trails</t>
  </si>
  <si>
    <t>Employment First</t>
  </si>
  <si>
    <t xml:space="preserve">H </t>
  </si>
  <si>
    <t>Freddy Burciaga</t>
  </si>
  <si>
    <t>Director of Outreach</t>
  </si>
  <si>
    <t>Parent tools, resources and activities</t>
  </si>
  <si>
    <t>Activities or features that specifically engage and address areas of concern for parents such as admissions standards, financial aid, understanding ICAP and graduation requirements and the like. Include items pertinant to parents but also a way to interface with student work including sign off and reporting</t>
  </si>
  <si>
    <t>Enroll in Program</t>
  </si>
  <si>
    <t>Work history /transferable skills survey</t>
  </si>
  <si>
    <t>Abilities and Aptitudes Assessment</t>
  </si>
  <si>
    <t>Determine credit for prior learning</t>
  </si>
  <si>
    <t>SHE/CWDC: Careers In Colorado</t>
  </si>
  <si>
    <t>Audience</t>
  </si>
  <si>
    <t xml:space="preserve">Comm. Sub Committee Meeting </t>
  </si>
  <si>
    <t xml:space="preserve">Comm. Sub-Committee Meeting </t>
  </si>
  <si>
    <t>Pro Center Users</t>
  </si>
  <si>
    <t>Superintendents</t>
  </si>
  <si>
    <t xml:space="preserve">Preliminary meeting CCCS career services roundtable </t>
  </si>
  <si>
    <t>Message to Rural Superintendents</t>
  </si>
  <si>
    <t>Rural Supers</t>
  </si>
  <si>
    <t>Meeting with JSSA leadership re product concept</t>
  </si>
  <si>
    <t>CCCS career services roundtable call</t>
  </si>
  <si>
    <t>Career Services, CCCS</t>
  </si>
  <si>
    <t>Staff: Ask for superintendents</t>
  </si>
  <si>
    <t>One-on-one with Westminster leadership</t>
  </si>
  <si>
    <t>Westminster</t>
  </si>
  <si>
    <t>JSSA retreat - quick overview of CIC status &amp; product concepts</t>
  </si>
  <si>
    <t>Meet with Tom Morgan/CDLE/product concepts and focus group request</t>
  </si>
  <si>
    <t>Teachers</t>
  </si>
  <si>
    <t>Meeting Div. of Child Welfare; status, funding</t>
  </si>
  <si>
    <t>Foster Youth</t>
  </si>
  <si>
    <t>Product/Services Subcommittee</t>
  </si>
  <si>
    <t>Full Taskforce meeting</t>
  </si>
  <si>
    <t>Counselors, Admissions</t>
  </si>
  <si>
    <t>Aspen Institute Meeting - CIC and Master Plan</t>
  </si>
  <si>
    <t>Charters</t>
  </si>
  <si>
    <t xml:space="preserve">Skillful/Markel Coaching tools </t>
  </si>
  <si>
    <t>CIC and Master Plan Goals one-sheet</t>
  </si>
  <si>
    <t>Activity Matrices to CWDC &amp; CDHS</t>
  </si>
  <si>
    <t>Staff: Strategic plan FY remaining</t>
  </si>
  <si>
    <t>Federal grant strategies webinar; NCPA</t>
  </si>
  <si>
    <t>Develop standard questions for conversations</t>
  </si>
  <si>
    <t>Pueblo 60</t>
  </si>
  <si>
    <t>Cheraw</t>
  </si>
  <si>
    <t>Fowler</t>
  </si>
  <si>
    <t>DeBeque</t>
  </si>
  <si>
    <t>Garfield</t>
  </si>
  <si>
    <t>Burlington</t>
  </si>
  <si>
    <t>Harrison</t>
  </si>
  <si>
    <t>Email to Pro Center users/focus group &amp; matrix</t>
  </si>
  <si>
    <t>Draft Foster Journey Map to Div. Child Welfare</t>
  </si>
  <si>
    <t>One-on-one with ACC Navigator</t>
  </si>
  <si>
    <t>Meet with Skillful/Andi Rugg</t>
  </si>
  <si>
    <t>Meet with Rebecca Holmes CEI</t>
  </si>
  <si>
    <t>CIC Newsletter; matrix and focus group results</t>
  </si>
  <si>
    <t xml:space="preserve">Creative: Targeted messaging </t>
  </si>
  <si>
    <t>Financial Aid Administrators</t>
  </si>
  <si>
    <t>Community College career advisors</t>
  </si>
  <si>
    <t>Workforce</t>
  </si>
  <si>
    <t>CCHE</t>
  </si>
  <si>
    <t xml:space="preserve">Email to Secondary Transition Service Providers/Educators list serve </t>
  </si>
  <si>
    <t xml:space="preserve">CIC Staff Activities Matrix </t>
  </si>
  <si>
    <t>Coaches/ Counselors</t>
  </si>
  <si>
    <t>CDE Scoop Newsletter</t>
  </si>
  <si>
    <t>CIC.org Home Page topic and landing page</t>
  </si>
  <si>
    <t>All users</t>
  </si>
  <si>
    <t>Ongoing</t>
  </si>
  <si>
    <t>Detail current program/funding areas &amp; statutory requirements</t>
  </si>
  <si>
    <t>Prepare product matrix that includes current and proposed activities across agencies as potential future state</t>
  </si>
  <si>
    <t>Engage stakeholders across the state to prioritize activities in the matrix, suggest additions, itemize favorite products/tools, identify gaps</t>
  </si>
  <si>
    <t>Itemize functional gaps in product as suggested by stakeholders</t>
  </si>
  <si>
    <t>April</t>
  </si>
  <si>
    <t>Prepare Request for Information and send to vendors</t>
  </si>
  <si>
    <t>Research and select vendors for Request for Information (RFI)</t>
  </si>
  <si>
    <t>Evaluate RFI results, select two or three promising models</t>
  </si>
  <si>
    <t>Evaluate Options for Product</t>
  </si>
  <si>
    <t>See Meetings Communications tab</t>
  </si>
  <si>
    <t xml:space="preserve">Andy, Trevor, Inta, Andrew, Julia, Megan M, Misti R, </t>
  </si>
  <si>
    <t>Lee, Pierre, Inta, Julia</t>
  </si>
  <si>
    <t>Lee, Mark, Trevor, Andrew, Sarah, LeeDel, Julia</t>
  </si>
  <si>
    <t>Andy, Andrew, Pierre, Trevor, Sarah, Inta, Julia</t>
  </si>
  <si>
    <t>Create fact sheet and package for legislature/potential funders</t>
  </si>
  <si>
    <t>March, May</t>
  </si>
  <si>
    <t>Services Mix</t>
  </si>
  <si>
    <t>Develop several services (training, outreach and communications) models for evaluation by task force</t>
  </si>
  <si>
    <t>April, May</t>
  </si>
  <si>
    <t>User Activities (Software Agnostic)</t>
  </si>
  <si>
    <t>Evaluate stakeholder input on potential products and activities</t>
  </si>
  <si>
    <t>Gather qualitative information about each activity and suggested products</t>
  </si>
  <si>
    <t>Email to CCHS/CR listserve; invite focus group, complete matrix</t>
  </si>
  <si>
    <t>Colorado Council HS/CR Presentation to Board</t>
  </si>
  <si>
    <t>Cheryl Carver</t>
  </si>
  <si>
    <t>Director of Youth Transition Unit</t>
  </si>
  <si>
    <t>Carver - CDHS, Cheryl &lt;cheryl.carver@state.co.us&gt;</t>
  </si>
  <si>
    <t>Subcommittee</t>
  </si>
  <si>
    <t>Meet with CU Boulder/CAFAA Chair</t>
  </si>
  <si>
    <t xml:space="preserve">DHE Focus Group on status and activity matrix </t>
  </si>
  <si>
    <t>Week of 3/12/18</t>
  </si>
  <si>
    <t xml:space="preserve">TRiO Aspire Conference Presentation </t>
  </si>
  <si>
    <t>DHE SME</t>
  </si>
  <si>
    <t>CIC SME</t>
  </si>
  <si>
    <t xml:space="preserve">Meeting: Charter Schools Institute </t>
  </si>
  <si>
    <t>Key User focus group #1</t>
  </si>
  <si>
    <t>Key User focus group #2</t>
  </si>
  <si>
    <t>General focus group #1</t>
  </si>
  <si>
    <t>General focus group #2</t>
  </si>
  <si>
    <t>Item re: focus groups in SCOOP newsletter</t>
  </si>
  <si>
    <t>Name: Lee Wheeler-Berliner</t>
  </si>
  <si>
    <t>Title: Assistant Director</t>
  </si>
  <si>
    <r>
      <t>Organization:</t>
    </r>
    <r>
      <rPr>
        <b/>
        <sz val="12"/>
        <rFont val="Calibri"/>
        <family val="1"/>
        <scheme val="minor"/>
      </rPr>
      <t>CWDC</t>
    </r>
  </si>
  <si>
    <t>HB15-1170 PWR Readiness</t>
  </si>
  <si>
    <t>HB16-1289 Industry Recognized Credentials</t>
  </si>
  <si>
    <t>HB15-1230 Innovative Industries Internships</t>
  </si>
  <si>
    <t>9-12th grade</t>
  </si>
  <si>
    <t>&lt;</t>
  </si>
  <si>
    <t>Phone call: Facility Schools/Youth Corrections</t>
  </si>
  <si>
    <t>Request to complete matrix to select CDE</t>
  </si>
  <si>
    <t>E-mail blast for matrix completion: DVR Stakeholders</t>
  </si>
  <si>
    <t>Counselors, teachers</t>
  </si>
  <si>
    <t>&gt;5 High</t>
  </si>
  <si>
    <t>EHpand access to employment, training, education and support services</t>
  </si>
  <si>
    <t>EHplore postsecondary career and education opportunities, align coursework and curriculum, apply to postsecondary institutions, secure financial aid</t>
  </si>
  <si>
    <t>TOTAL - Statute-based</t>
  </si>
  <si>
    <t>TOTAL H (Higher Education/K-12 Education)</t>
  </si>
  <si>
    <t>TOTAL H (CWDC/ CDLE)</t>
  </si>
  <si>
    <t>Not reviewed</t>
  </si>
  <si>
    <t>TOTAL H (Human Services)</t>
  </si>
  <si>
    <t>TOTAL H (Justice Involved)</t>
  </si>
  <si>
    <t>EHamples of Products</t>
  </si>
  <si>
    <t xml:space="preserve">Activities the user likes, personal qualities and school subjects helps the system suggest top career clusters to eHplore. </t>
  </si>
  <si>
    <t>Tests  administered to assess the knowledge and skills of adult learners such as reading, math, language, vocabulary, science and spatial ability, motor coordination and manual deHterity</t>
  </si>
  <si>
    <t>TOTAL M</t>
  </si>
  <si>
    <t>TOTAL H</t>
  </si>
  <si>
    <t>EHplore careers and career clusters</t>
  </si>
  <si>
    <t>Career Profile data and eHploration tools</t>
  </si>
  <si>
    <t>EHplore in-demand industries and top jobs pathways</t>
  </si>
  <si>
    <t>Understand which careers eHist in Colorado's key industries and how into get them</t>
  </si>
  <si>
    <t>Careers In Colorado interactive pathway maps (IT, Construction/Trades, Healthcare, business operations, cybersecurity) include skills, qualifications, eHperience and educational requirements for Colorado top jobs in each pathway along with programs available (ETPL interface), Energy Microsite</t>
  </si>
  <si>
    <t>Colorado's economy depends on skilled labor across many key industries. To fill this labor pipeline, CWDC works with employers in regions across the state to define top jobs and critical occupations as well as the education, skills and competencies required to attain those jobs. This activity should help users get eHcited about the industry, map out the career pathways available to them, including finding programs/majors in continuing their education to qualify for jobs along the pathway.</t>
  </si>
  <si>
    <t>When evaluating career choices, users should be able to view a recommended course plan at the high school level along with concurrent enrollment opportunities appropriate, programs and majors that are recommended for postsecondary study, along with credential level eHpected and further licensure or on the job training required.</t>
  </si>
  <si>
    <t xml:space="preserve">Record eHperiences and skills gained </t>
  </si>
  <si>
    <t>Record eHperiences in Portfolio in CIC.org</t>
  </si>
  <si>
    <t>As above plus user tools to track their work history, likes and dislikes about each, skills attained, upload artifacts from the eHperience.</t>
  </si>
  <si>
    <t>Paid, un-paid, transitional employment (practical work eHperience)</t>
  </si>
  <si>
    <t>Practice job applications, resume builders, cover letter creator, job interview practice, thank-you letter builder, How-to, eHamples, get-started worksheets for applications, automated search from career profile to Job Banks</t>
  </si>
  <si>
    <t>Available and duplicated on many sites, these tools are essential to help users prepare to look for and land a job. Activities in this area should help users combine the information about their previous work eHperience and skills that have been recorded in their portfolio into building and updating a current resume, application and cover letter. There should also be advice and assistance in using or modifying social media platforms productively such as Facebook and Linked In.</t>
  </si>
  <si>
    <t>High School Plan of Study matriH on CIC.org</t>
  </si>
  <si>
    <t xml:space="preserve">Coursework planning by subject &amp; grade, locally customizable plans of study, course catalog, graduation requirements and on-track tracking, comparison to college entrance eHpectations, parental sign off &amp; tracking, concurrent enrollment through associates degree tracking including credential identification and completion, provider and class location </t>
  </si>
  <si>
    <t>Data transfer and integration between portfolio and a local providers student information system including local course catalog and plans of study, automated grade, credit hour data into course plan, eHport file for student schedule requests, analysis of student postsecondary and workforce outcomes, import data, such as test scores and FAFSA completion into student portfolios</t>
  </si>
  <si>
    <t>Activity to eHplain the placement tests associated with establishing postsecondary coursework readiness and information on remediation and credit recovery coursework including financial aid applicability.</t>
  </si>
  <si>
    <t>High school preparation and eHploration information</t>
  </si>
  <si>
    <t>A comprehensive activity that would help middle school students and their parents with what to eHpect in high school including a high school planning timeline, concurrent enrollment information, graduation guidelines and requirements, plus strategies to succeed in high school such as homework helper resources and locally available mentoring and tutoring resources.</t>
  </si>
  <si>
    <t>Content and interactive tools and activities that help students of all ages understand the pros and cons of various options after high school diploma/HSE including educational, work and military options. These could include college planning timelines, content to help students get ready for postsecondary options, college FAQs, reciprocity and eHchange program information, other resources</t>
  </si>
  <si>
    <t>EHplore schools and training providers profiles, tools</t>
  </si>
  <si>
    <t>EHplore programs and majors including industry-recognized credentials</t>
  </si>
  <si>
    <t>Understand competencies eHpected by occupations and employers and those gained from completing programs of study</t>
  </si>
  <si>
    <t>Users should be able to understand for each occupation what employers eHpect in terms of competencies and skills. Users should also be able to compare that information to competencies and skills that they have currently and which they may obtain through taking a program or major.</t>
  </si>
  <si>
    <t>Activity to help users assess and build a submittal to receive credit for prior learning/work eHperiences.</t>
  </si>
  <si>
    <t>Online financial literacy courses that include interactive eHercises and content to help users gain money management, budgeting, theft control and other financial literacy skills. Should include certificates of completion and a facilitator system so that results can be proven. Must be consistent with Colorado FPL standards.</t>
  </si>
  <si>
    <t>TaHes</t>
  </si>
  <si>
    <t>Activities on a personalized plan should carry a feature to set time of completion eHpectations; visible and trackable by user and supporting professionals. A reminder system should be implemented to assist the user with scheduling their work.</t>
  </si>
  <si>
    <t>Lifelong, transferable internally &amp; eHternally upon transfer</t>
  </si>
  <si>
    <t>Continuous eHploration, planning and decision-making framework</t>
  </si>
  <si>
    <t xml:space="preserve">Tools and features that allow continuous and cumulative eHploration and planning activities to be presented in a process framework that builds on previous work rather than just providing a clearinghouse of disparate individual activities. While this type of framework is desirable, users should be able to view and select one activity for quick use as well.  </t>
  </si>
  <si>
    <t>As a user builds their profile and adds items to their portfolio, they may designate applicable items to be visible to colleges, employers, or both upon an eHport during a job search or admissions application. Two templates should be available to place the applicable items in a professional format for that use. The user should be able to edit the items, if desired, once the output is created.</t>
  </si>
  <si>
    <t>Record notes and upload documents related to  career, job, education, eHperiences, projects, goals, self-assessments in guided activities. Ability to upload personal documents such as credit report, medical needs/records, transcripts, etc. and select whether visible to others.</t>
  </si>
  <si>
    <t>E-mail, teHt, calendaring interface to allow professionals to communicate with users within the site</t>
  </si>
  <si>
    <t>Document other supportive services offered to clients that may not appear on their "journey" of activities or within the education, training and career eHploration areas.</t>
  </si>
  <si>
    <t>Own Your Future (incarcerated, eH-offender)</t>
  </si>
  <si>
    <t xml:space="preserve">Access to additional resources and information for incarcerated, eH-offender, homeless and other at risk populations on "Your Life" including housing, transportation, budget and scheduling. </t>
  </si>
  <si>
    <t>Data for career profiles, skills, eHperience and competencies required in jobs, college and program information should be up to date, regionally specific, driven by industry employers and or education providers, and delivered in a user-friendly format.</t>
  </si>
  <si>
    <t>Data EHchange/API (preferred) or batch</t>
  </si>
  <si>
    <t>Specific pre-identified data elements from activities, regardless on which agency platform the activity is completed, must be able to be eHchanged and stored in user profile and potentially on agency site</t>
  </si>
  <si>
    <t>Individuals' work, transactions, data from eHternal sites, documents and projects</t>
  </si>
  <si>
    <t>DHS: Office of Economic Security's Div. of Food and Energy Assistance: SNAP (Food Stamps)</t>
  </si>
  <si>
    <t>50% or greater aggregate for all</t>
  </si>
  <si>
    <t>Higher Ed Percent</t>
  </si>
  <si>
    <t>K-12 Percent</t>
  </si>
  <si>
    <t>WIOA Percent</t>
  </si>
  <si>
    <t>CWDC Percent</t>
  </si>
  <si>
    <t>DHS Percent</t>
  </si>
  <si>
    <t>Total - all</t>
  </si>
  <si>
    <t>Additional Descriptive Notes for Activity</t>
  </si>
  <si>
    <t>Activities or features that specifically engage and address areas of concern for parents such as admissions standards, financial aid, understanding ICAP and graduation requirements and the like. Include items pertinent to parents but also a way to interface with student work including sign off and reporting</t>
  </si>
  <si>
    <t>Percentages are weighted priority (medium or high) by each respondent/possible total value for each activity</t>
  </si>
  <si>
    <t>Aggregate Percent</t>
  </si>
  <si>
    <t>Title: Master Matrix</t>
  </si>
  <si>
    <t>Higher Ed</t>
  </si>
  <si>
    <t>K-12 (I-CAP)</t>
  </si>
  <si>
    <t xml:space="preserve">WIOA  </t>
  </si>
  <si>
    <t>Total Weighted</t>
  </si>
  <si>
    <t xml:space="preserve">M Weighted </t>
  </si>
  <si>
    <t>H Weighted</t>
  </si>
  <si>
    <t>Total Higher Ed Weighted</t>
  </si>
  <si>
    <t>TOTAL M (HIGHER ED)</t>
  </si>
  <si>
    <t>TOTAL H (HIGHER ED)</t>
  </si>
  <si>
    <t>CSU-Pueblo</t>
  </si>
  <si>
    <t>Timalyn O'Neil</t>
  </si>
  <si>
    <t>Lauren Jones - CCCS</t>
  </si>
  <si>
    <t>CU Denver TRiO SSS &amp; McNair</t>
  </si>
  <si>
    <t>K-12 Weighted</t>
  </si>
  <si>
    <t>TOTAL M (K-12 I-CAP)</t>
  </si>
  <si>
    <t>TOTAL H (K-12 I-CAP)</t>
  </si>
  <si>
    <t>ICAP-Cheraw Sean Rodwell</t>
  </si>
  <si>
    <t>High School Sped/School to Work Alliance Program</t>
  </si>
  <si>
    <t>ICAP</t>
  </si>
  <si>
    <t>Destinations Career Academy</t>
  </si>
  <si>
    <t>ICAP, post-secondary planning (STEM School)</t>
  </si>
  <si>
    <t>ICAP (North Conejos)</t>
  </si>
  <si>
    <t>WIOA Weighted</t>
  </si>
  <si>
    <t>TOTAL M (WIOA)</t>
  </si>
  <si>
    <t>TOTAL H (WIOA)</t>
  </si>
  <si>
    <t>CWDC Weighted</t>
  </si>
  <si>
    <t>TOTAL M (CWDC)</t>
  </si>
  <si>
    <t>TOTAL H (CWDC)</t>
  </si>
  <si>
    <t>DHS Weighted</t>
  </si>
  <si>
    <t>TOTAL M (HUMAN SERVICES)</t>
  </si>
  <si>
    <t>TOTAL H (HUMAN SERVICES)</t>
  </si>
  <si>
    <t>Individual Placement and Support (IPS)</t>
  </si>
  <si>
    <t>4 respondents; 8 possible points</t>
  </si>
  <si>
    <t>Michael Hellman</t>
  </si>
  <si>
    <t xml:space="preserve">CSU </t>
  </si>
  <si>
    <t>STATE LEADERSHIP</t>
  </si>
  <si>
    <t>University students</t>
  </si>
  <si>
    <t>8 respodents; 16 possible points</t>
  </si>
  <si>
    <t>6-12th Grades</t>
  </si>
  <si>
    <t>High School/Exited youth</t>
  </si>
  <si>
    <t>Mandie Dovey-Garfield</t>
  </si>
  <si>
    <t>Your user type here</t>
  </si>
  <si>
    <t>Middle and High School students/families</t>
  </si>
  <si>
    <t>Donna Aragon</t>
  </si>
  <si>
    <t>S Weygandt</t>
  </si>
  <si>
    <t>0 respodents; 0 possible points</t>
  </si>
  <si>
    <t>7 respodents; 14 possible points</t>
  </si>
  <si>
    <t>Talent Pipeline (t. Hartman)</t>
  </si>
  <si>
    <t>Talent Pipeline (ShaJuana Williams) Industry Partner</t>
  </si>
  <si>
    <t>ShaJuana Williams) Industry Partner</t>
  </si>
  <si>
    <t>5 respodents; 10 possible points</t>
  </si>
  <si>
    <t>CDHS (S. Teegardin)</t>
  </si>
  <si>
    <t>Expand access to employment, training, education and support services</t>
  </si>
  <si>
    <t>Of most value, probably, is info on areas of employment opportunity and growth.</t>
  </si>
  <si>
    <t xml:space="preserve"> H</t>
  </si>
  <si>
    <t>Would be relevant for some, but we'd probably refer out (Works)</t>
  </si>
  <si>
    <t>Meet with St. Vrain district reps</t>
  </si>
  <si>
    <t>General focus group #3</t>
  </si>
  <si>
    <t>Mixed K-12, PS</t>
  </si>
  <si>
    <t>CIC Newsletter; RFI release</t>
  </si>
  <si>
    <t>INTENT Response (Yes, No, or Maybe)</t>
  </si>
  <si>
    <t>Website Address</t>
  </si>
  <si>
    <t xml:space="preserve">Company </t>
  </si>
  <si>
    <t xml:space="preserve">Contact Name </t>
  </si>
  <si>
    <t xml:space="preserve">Phone </t>
  </si>
  <si>
    <t>Yes</t>
  </si>
  <si>
    <t>https://www.air.org/</t>
  </si>
  <si>
    <t>American Institutes for Research (AIR)</t>
  </si>
  <si>
    <t>Matt Soldner, Ph.D.</t>
  </si>
  <si>
    <t>Principal Resarcher</t>
  </si>
  <si>
    <t>Msoldner@air.org</t>
  </si>
  <si>
    <t>202-403-5404</t>
  </si>
  <si>
    <t>Added at their request</t>
  </si>
  <si>
    <t>www.bitsinglass.com</t>
  </si>
  <si>
    <t>Bits In Glass</t>
  </si>
  <si>
    <t>Tim Hale</t>
  </si>
  <si>
    <t>Account Executive</t>
  </si>
  <si>
    <t>Tim Hale &lt;tim.hale@bitsinglass.com&gt;</t>
  </si>
  <si>
    <t xml:space="preserve">1-888-336-4484 </t>
  </si>
  <si>
    <t>https://brighthive.io/</t>
  </si>
  <si>
    <t>Bright Hive</t>
  </si>
  <si>
    <t>Adam Gillette</t>
  </si>
  <si>
    <t>Director of Program development</t>
  </si>
  <si>
    <t>adam@brighthive.io</t>
  </si>
  <si>
    <t>757-329-1648</t>
  </si>
  <si>
    <t>www.couragion.com</t>
  </si>
  <si>
    <t>Couragion Corporation</t>
  </si>
  <si>
    <t>Laura Farrelly</t>
  </si>
  <si>
    <t>COO &amp; Co-Founder</t>
  </si>
  <si>
    <t>laura@couragion.com</t>
  </si>
  <si>
    <t>720.839.6542</t>
  </si>
  <si>
    <t>https://www.datausa.com/Home</t>
  </si>
  <si>
    <t xml:space="preserve">Data, Inc. </t>
  </si>
  <si>
    <t>Stephanie Daszuta</t>
  </si>
  <si>
    <t>Senior Project Manager</t>
  </si>
  <si>
    <t>stephanie@datausa.com</t>
  </si>
  <si>
    <t>303-708-9708</t>
  </si>
  <si>
    <t>https://www.datausa.com/About#About-Us</t>
  </si>
  <si>
    <t>https://www.majorclarity.com/</t>
  </si>
  <si>
    <t xml:space="preserve">MajorClarity </t>
  </si>
  <si>
    <t>Audrey Johnson</t>
  </si>
  <si>
    <t>Customer Success Manager</t>
  </si>
  <si>
    <t>audrey@majorclarity.com</t>
  </si>
  <si>
    <t>804-839-2245</t>
  </si>
  <si>
    <t>n/a</t>
  </si>
  <si>
    <t>https://www.mappingyourfuture.org/</t>
  </si>
  <si>
    <t xml:space="preserve">Mapping Your Future </t>
  </si>
  <si>
    <t>Cathy Mueller</t>
  </si>
  <si>
    <t xml:space="preserve">Executive Director </t>
  </si>
  <si>
    <t>cathy@mappingyourfuture.org</t>
  </si>
  <si>
    <t>940-497-0741 </t>
  </si>
  <si>
    <t>https://www.mappingyourfuture.org/about/staff.cfm</t>
  </si>
  <si>
    <t>https://www.nexttier.com/</t>
  </si>
  <si>
    <t>NextTier Education</t>
  </si>
  <si>
    <t>Michael Parnello</t>
  </si>
  <si>
    <t>​ VP Business Development ​</t>
  </si>
  <si>
    <t>michael@nexttier.com</t>
  </si>
  <si>
    <t>773-329-5241</t>
  </si>
  <si>
    <t>https://www.practicalmoneyskills.com/</t>
  </si>
  <si>
    <t xml:space="preserve">Practical Money Skills (Visa) </t>
  </si>
  <si>
    <t>Hugh Norton</t>
  </si>
  <si>
    <t xml:space="preserve">Head of U.S. Financial Education </t>
  </si>
  <si>
    <t>hnorton@visa.com</t>
  </si>
  <si>
    <t>http://techtonicgroup.com/</t>
  </si>
  <si>
    <t>Techtonic Group</t>
  </si>
  <si>
    <t>John Kingdeski</t>
  </si>
  <si>
    <t>Director of Business Development</t>
  </si>
  <si>
    <t>John Kingdeski &lt;john@techtonicgroup.com&gt;</t>
  </si>
  <si>
    <t>www.techtonicgroup.com</t>
  </si>
  <si>
    <t>http://tuapath.com/</t>
  </si>
  <si>
    <t>TuaPath</t>
  </si>
  <si>
    <t xml:space="preserve">Mike Suchowski </t>
  </si>
  <si>
    <t>CEO</t>
  </si>
  <si>
    <t xml:space="preserve">mikes2@tuapath.com </t>
  </si>
  <si>
    <t>855-662-6338</t>
  </si>
  <si>
    <t>http://www.vertiba.com/</t>
  </si>
  <si>
    <t>Vertiba</t>
  </si>
  <si>
    <t xml:space="preserve">Andre Lepine </t>
  </si>
  <si>
    <t>Engagement Manager</t>
  </si>
  <si>
    <t>andre.lepine@vertiba.com</t>
  </si>
  <si>
    <t>720-296-4176</t>
  </si>
  <si>
    <t>http://vertiba.com/vip/</t>
  </si>
  <si>
    <t>https://www.viridislearning.com/</t>
  </si>
  <si>
    <t>Viridis</t>
  </si>
  <si>
    <t>Felix W. Ortiz III</t>
  </si>
  <si>
    <t>Founder, Chairman &amp; CEO</t>
  </si>
  <si>
    <t>Felix Ortiz &lt;felix@viridislearning.com&gt;</t>
  </si>
  <si>
    <t>(347) 921-1784</t>
  </si>
  <si>
    <t>https://www.xap.com/</t>
  </si>
  <si>
    <t>XAP Corporation</t>
  </si>
  <si>
    <t>Eddie Monnier</t>
  </si>
  <si>
    <t>Chief Executive Officer</t>
  </si>
  <si>
    <t>Edward Monnier &lt;emonnier@xap.com&gt;</t>
  </si>
  <si>
    <t xml:space="preserve">424.341.6762 </t>
  </si>
  <si>
    <t>https://public.careercruising.com/en/</t>
  </si>
  <si>
    <t>Xello (formerly CareerCruising)</t>
  </si>
  <si>
    <t>Jeff MacLeod</t>
  </si>
  <si>
    <t>Educational Consultant</t>
  </si>
  <si>
    <t>jeffm@xello.world</t>
  </si>
  <si>
    <t>1.800.965.8541 x 209</t>
  </si>
  <si>
    <t>https://public.careercruising.com/en/about/</t>
  </si>
  <si>
    <t>https://www.canvaslms.com/ (https://www.instructure.com/)</t>
  </si>
  <si>
    <t>Instructure (Bridge)
Instructure (Canvas )</t>
  </si>
  <si>
    <t xml:space="preserve">Kathryn Rommel </t>
  </si>
  <si>
    <t>Bridge Proposal Manager</t>
  </si>
  <si>
    <t>kathryn@instructure.com</t>
  </si>
  <si>
    <t>(801) 869-5000</t>
  </si>
  <si>
    <t xml:space="preserve">www.GovWin.com </t>
  </si>
  <si>
    <t>Deltek</t>
  </si>
  <si>
    <t>Morgan Parkin</t>
  </si>
  <si>
    <t>Research Analyst</t>
  </si>
  <si>
    <t xml:space="preserve">MorganParkin@deltek.com </t>
  </si>
  <si>
    <t>703.885.9538</t>
  </si>
  <si>
    <t>http://www.l1to1.org/</t>
  </si>
  <si>
    <t>Learning One to One</t>
  </si>
  <si>
    <t>Erik Hashi</t>
  </si>
  <si>
    <t>Ideas Director</t>
  </si>
  <si>
    <t>info@L1to1.org</t>
  </si>
  <si>
    <t xml:space="preserve">1 (305) 205-1306 </t>
  </si>
  <si>
    <t>This is a Foundation</t>
  </si>
  <si>
    <t>No</t>
  </si>
  <si>
    <t>http://www.emaspro.com/</t>
  </si>
  <si>
    <t>EMAS Pro-Enrollment Managements A System</t>
  </si>
  <si>
    <t>Dawn Lipker</t>
  </si>
  <si>
    <t>Director Client Business Development</t>
  </si>
  <si>
    <t>lipker@emaspro.com</t>
  </si>
  <si>
    <t xml:space="preserve">(866) 999-3627 </t>
  </si>
  <si>
    <t>https://guidedpath.net/</t>
  </si>
  <si>
    <t>GuidedPath</t>
  </si>
  <si>
    <t>Cyndy McDonald</t>
  </si>
  <si>
    <t>President</t>
  </si>
  <si>
    <t>cyndy@guidedpath.net</t>
  </si>
  <si>
    <t>720-465-8555</t>
  </si>
  <si>
    <t>https://guidedpath.net/about/</t>
  </si>
  <si>
    <t>https://www.athenasoftware.net/</t>
  </si>
  <si>
    <t>Penelope</t>
  </si>
  <si>
    <t>Neil McDonald</t>
  </si>
  <si>
    <t xml:space="preserve">Head of Marketing and Communications </t>
  </si>
  <si>
    <t>neil@athenasoftware.net</t>
  </si>
  <si>
    <t>1-866-806-6014</t>
  </si>
  <si>
    <t>https://www.athenasoftware.net/who-we-are/</t>
  </si>
  <si>
    <t>http://www.sarsgrid.com/</t>
  </si>
  <si>
    <t xml:space="preserve">SARS Software Products, Inc. </t>
  </si>
  <si>
    <t>Brian Dobbie</t>
  </si>
  <si>
    <t>Sales and Marketing</t>
  </si>
  <si>
    <t>brian@sarsgrid.com</t>
  </si>
  <si>
    <t>(415) 226-0040</t>
  </si>
  <si>
    <t xml:space="preserve">www.technolutions.com </t>
  </si>
  <si>
    <t>Technolutions</t>
  </si>
  <si>
    <t>Joanna Zygmont</t>
  </si>
  <si>
    <t>slate-proposals@technolutions.com</t>
  </si>
  <si>
    <t>https://www.mulesoft.com/</t>
  </si>
  <si>
    <t>MuleSoft (See Bits In Glass)</t>
  </si>
  <si>
    <t xml:space="preserve">Vance Wagenknecht </t>
  </si>
  <si>
    <t>State of Colorado/MuleSoft engagement</t>
  </si>
  <si>
    <t>vance.wagenknecht@mulesoft.com</t>
  </si>
  <si>
    <t xml:space="preserve">541-517-4272 </t>
  </si>
  <si>
    <t>Will soon be acquired by Salesforce</t>
  </si>
  <si>
    <t>https://www.mulesoft.com/team</t>
  </si>
  <si>
    <t>https://www.act.org/content/act/en/products-and-services/act-profile.html</t>
  </si>
  <si>
    <t>ACT</t>
  </si>
  <si>
    <t>Shirley Antolik?</t>
  </si>
  <si>
    <t>shirley.antolik@act.org</t>
  </si>
  <si>
    <t>412-491-2611</t>
  </si>
  <si>
    <t xml:space="preserve">Sent email. </t>
  </si>
  <si>
    <t>https://bigfuture.collegeboard.org/college-search</t>
  </si>
  <si>
    <t>Big Future</t>
  </si>
  <si>
    <t>procurement@collegeboard.org</t>
  </si>
  <si>
    <t>866-392-4078</t>
  </si>
  <si>
    <t>Sent email</t>
  </si>
  <si>
    <t>https://www.collegeboard.org/about/region-offices/west</t>
  </si>
  <si>
    <t>https://www.box.com/home</t>
  </si>
  <si>
    <t>Box</t>
  </si>
  <si>
    <t>Carolina Cruz</t>
  </si>
  <si>
    <t xml:space="preserve">Enterprise Business Relations </t>
  </si>
  <si>
    <t>carolinacruz@box.com</t>
  </si>
  <si>
    <t>415-870-4310</t>
  </si>
  <si>
    <t>https://www.cappex.com/</t>
  </si>
  <si>
    <t>Cappex</t>
  </si>
  <si>
    <t>Tim Brennan</t>
  </si>
  <si>
    <t>Senior Vice President of Sales and Marketing</t>
  </si>
  <si>
    <t>https://www.cappex.com/page/about/executiveTeam.jsp</t>
  </si>
  <si>
    <t>https://www.collegegreenlight.com/</t>
  </si>
  <si>
    <t>College Greenlight</t>
  </si>
  <si>
    <t xml:space="preserve">Jonathan April </t>
  </si>
  <si>
    <t xml:space="preserve">GM </t>
  </si>
  <si>
    <t>japril@collegegreenlight.com</t>
  </si>
  <si>
    <t>312-953-9404</t>
  </si>
  <si>
    <t>https://www.comm100.com/</t>
  </si>
  <si>
    <t>Comm100</t>
  </si>
  <si>
    <t>Rob Precious</t>
  </si>
  <si>
    <t xml:space="preserve">Director of Enterprise Sales </t>
  </si>
  <si>
    <t>sales@comm100.com</t>
  </si>
  <si>
    <t>1-877-­305-0464</t>
  </si>
  <si>
    <t>https://www.comm100.com/company/executive-team.aspx</t>
  </si>
  <si>
    <t>https://www.eab.com/technology/navigate</t>
  </si>
  <si>
    <t>EAB Navigate</t>
  </si>
  <si>
    <t>sent email.</t>
  </si>
  <si>
    <t>https://www.eab.com/about-us/leadership</t>
  </si>
  <si>
    <t>https://harrisschoolsolutions.com/products/go-edustar/</t>
  </si>
  <si>
    <t>Harris School Solutions (GoEduStar)</t>
  </si>
  <si>
    <t>1.866.450.6696</t>
  </si>
  <si>
    <t>https://www.icevonline.com/</t>
  </si>
  <si>
    <t>iCEV Online</t>
  </si>
  <si>
    <t>accounting@cevmultimedia.com</t>
  </si>
  <si>
    <t>800-922-9965</t>
  </si>
  <si>
    <t>https://www.icevonline.com/about-us/management/</t>
  </si>
  <si>
    <t>https://literacypro.com/</t>
  </si>
  <si>
    <t>LiteracyPro Systems</t>
  </si>
  <si>
    <t>Garth Neil</t>
  </si>
  <si>
    <t>VP, Strategic Initiatives</t>
  </si>
  <si>
    <t>gneil@literacypro.com</t>
  </si>
  <si>
    <t>415-497-9409</t>
  </si>
  <si>
    <t>https://www.mynextmove.org/ ( https://www.onetonline.org/)</t>
  </si>
  <si>
    <t xml:space="preserve">MyNext Move </t>
  </si>
  <si>
    <t>US Department of Labor/Employment and Training Administration</t>
  </si>
  <si>
    <t>https://www.onetcenter.org/overview.html</t>
  </si>
  <si>
    <t>https://www.naviance.com/</t>
  </si>
  <si>
    <t>Naviance (Hobsons)</t>
  </si>
  <si>
    <t>Monica Morrell</t>
  </si>
  <si>
    <t>General Manager, Naviance</t>
  </si>
  <si>
    <t>https://www.hobsons.com/about</t>
  </si>
  <si>
    <t>https://www.nsparc.msstate.edu/about/</t>
  </si>
  <si>
    <t>NSPARC</t>
  </si>
  <si>
    <t>Sandee Thames (Michele)</t>
  </si>
  <si>
    <t>Sales Manager</t>
  </si>
  <si>
    <t>mthames@riley.msstate.edu</t>
  </si>
  <si>
    <t>601-696-2203</t>
  </si>
  <si>
    <t>https://www.msstate.edu/directory/employee/</t>
  </si>
  <si>
    <t>http://jobzology.com/</t>
  </si>
  <si>
    <t>Pathway u/Jobzology</t>
  </si>
  <si>
    <t>Kelly Stockton</t>
  </si>
  <si>
    <t>Solutions Associate</t>
  </si>
  <si>
    <t>970-219-3061</t>
  </si>
  <si>
    <t>From LeeDel</t>
  </si>
  <si>
    <t>info@jobzology.com</t>
  </si>
  <si>
    <t>https://www.salesforce.com/</t>
  </si>
  <si>
    <t xml:space="preserve">Sales Force </t>
  </si>
  <si>
    <t>Mike Owens</t>
  </si>
  <si>
    <t>Salesforce Public Sector Solutions </t>
  </si>
  <si>
    <t>mike.owens@salesforce.com</t>
  </si>
  <si>
    <t>571-665-3555</t>
  </si>
  <si>
    <t>https://www.skillful.com/</t>
  </si>
  <si>
    <t>Skillful (&amp; Microsoft, Google, Bright Hive)</t>
  </si>
  <si>
    <t>Andy Rugg</t>
  </si>
  <si>
    <t xml:space="preserve">Executive Director, Skillful Colorado </t>
  </si>
  <si>
    <t>arugg@markle.org</t>
  </si>
  <si>
    <t xml:space="preserve">303-405-6724   </t>
  </si>
  <si>
    <t xml:space="preserve">Andi will forward RFI to: Microsoft, Google, BrightHive </t>
  </si>
  <si>
    <t>https://slate.org/</t>
  </si>
  <si>
    <t>SLATE</t>
  </si>
  <si>
    <t>sent email</t>
  </si>
  <si>
    <t>www.virtualjobshadow.com</t>
  </si>
  <si>
    <t xml:space="preserve">Virtual Job Shadow </t>
  </si>
  <si>
    <t>Amanda McCann</t>
  </si>
  <si>
    <t xml:space="preserve">Sales Team </t>
  </si>
  <si>
    <t>amanda@strivven.com</t>
  </si>
  <si>
    <t>828-552-5450</t>
  </si>
  <si>
    <t>https://www.virtualjobshadow.com/contact/</t>
  </si>
  <si>
    <t>White Board Advisors</t>
  </si>
  <si>
    <t>Allison Griffith</t>
  </si>
  <si>
    <t>(202) 479-1800</t>
  </si>
  <si>
    <t>From Inta</t>
  </si>
  <si>
    <t>https://www.wix.com/</t>
  </si>
  <si>
    <t>Wix</t>
  </si>
  <si>
    <t xml:space="preserve">Sent email.  </t>
  </si>
  <si>
    <t>https://www.wix.com/about/us/management</t>
  </si>
  <si>
    <t xml:space="preserve">202 573 0750  </t>
  </si>
  <si>
    <t>303-828-7009</t>
  </si>
  <si>
    <t>Megan Rymski - CDHS &lt;Megan.Rymski@state.co.us&gt;</t>
  </si>
  <si>
    <t>Megan Rymski</t>
  </si>
  <si>
    <t>DHS</t>
  </si>
  <si>
    <t>Slalom LLC</t>
  </si>
  <si>
    <t>Brad Smith</t>
  </si>
  <si>
    <t>Principal Consultant, Public Sector</t>
  </si>
  <si>
    <t>brad.smith@slalom.com</t>
  </si>
  <si>
    <t>(720) 244-7462</t>
  </si>
  <si>
    <t>https://www.slalom.com/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</si>
</sst>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
    <numFmt numFmtId="166" formatCode="_(&quot;$&quot;* #,##0_);_(&quot;$&quot;* \(#,##0\);_(&quot;$&quot;* &quot;-&quot;??_);_(@_)"/>
    <numFmt numFmtId="167" formatCode="#,##0.0_);[Red]\(#,##0.0\)"/>
    <numFmt numFmtId="168" formatCode="0.0%"/>
    <numFmt numFmtId="169" formatCode="[$-409]mmmm\ d\,\ yyyy;@"/>
  </numFmts>
  <fonts count="140">
    <font>
      <sz val="12"/>
      <name val="Calibri"/>
      <family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u/>
      <sz val="12"/>
      <name val="Calibri"/>
      <family val="1"/>
      <scheme val="minor"/>
    </font>
    <font>
      <b/>
      <sz val="14"/>
      <color rgb="FFFF0000"/>
      <name val="Calibri"/>
      <family val="2"/>
      <scheme val="minor"/>
    </font>
    <font>
      <sz val="12"/>
      <name val="Calibri"/>
      <family val="2"/>
      <scheme val="minor"/>
    </font>
    <font>
      <b/>
      <sz val="12"/>
      <color rgb="FFFF0000"/>
      <name val="Calibri"/>
      <family val="2"/>
      <scheme val="minor"/>
    </font>
    <font>
      <sz val="11"/>
      <color rgb="FF000000"/>
      <name val="Calibri"/>
      <family val="2"/>
      <scheme val="minor"/>
    </font>
    <font>
      <i/>
      <sz val="12"/>
      <name val="Calibri"/>
      <family val="2"/>
      <scheme val="minor"/>
    </font>
    <font>
      <sz val="12"/>
      <name val="Calibri"/>
      <family val="1"/>
      <scheme val="minor"/>
    </font>
    <font>
      <b/>
      <sz val="12"/>
      <color theme="1"/>
      <name val="Calibri"/>
      <family val="2"/>
      <scheme val="minor"/>
    </font>
    <font>
      <sz val="12"/>
      <color theme="1"/>
      <name val="Calibri"/>
      <family val="2"/>
      <scheme val="minor"/>
    </font>
    <font>
      <b/>
      <sz val="14"/>
      <color theme="1"/>
      <name val="Calibri"/>
      <family val="2"/>
      <scheme val="minor"/>
    </font>
    <font>
      <b/>
      <sz val="12"/>
      <color theme="3"/>
      <name val="Calibri"/>
      <family val="2"/>
      <scheme val="minor"/>
    </font>
    <font>
      <sz val="12"/>
      <color rgb="FF000000"/>
      <name val="Calibri"/>
      <family val="2"/>
      <scheme val="minor"/>
    </font>
    <font>
      <sz val="10"/>
      <name val="Arial"/>
      <family val="2"/>
    </font>
    <font>
      <sz val="10"/>
      <name val="Calibri"/>
      <family val="2"/>
      <scheme val="minor"/>
    </font>
    <font>
      <sz val="11"/>
      <name val="Calibri"/>
      <family val="2"/>
      <scheme val="minor"/>
    </font>
    <font>
      <sz val="10"/>
      <color theme="1"/>
      <name val="Calibri"/>
      <family val="2"/>
      <scheme val="minor"/>
    </font>
    <font>
      <sz val="12"/>
      <name val="Arial"/>
      <family val="2"/>
    </font>
    <font>
      <sz val="9"/>
      <color theme="1"/>
      <name val="Calibri"/>
      <family val="2"/>
      <scheme val="minor"/>
    </font>
    <font>
      <b/>
      <sz val="9"/>
      <color theme="1"/>
      <name val="Calibri"/>
      <family val="2"/>
      <scheme val="minor"/>
    </font>
    <font>
      <sz val="12"/>
      <color rgb="FFFF0000"/>
      <name val="Calibri"/>
      <family val="2"/>
      <scheme val="minor"/>
    </font>
    <font>
      <sz val="9"/>
      <color rgb="FFFF0000"/>
      <name val="Calibri"/>
      <family val="2"/>
      <scheme val="minor"/>
    </font>
    <font>
      <b/>
      <sz val="11"/>
      <color rgb="FF000000"/>
      <name val="Calibri"/>
      <family val="2"/>
      <scheme val="minor"/>
    </font>
    <font>
      <sz val="10"/>
      <name val="MS Sans Serif"/>
      <family val="2"/>
    </font>
    <font>
      <sz val="12"/>
      <name val="MS Sans Serif"/>
      <family val="2"/>
    </font>
    <font>
      <b/>
      <sz val="9"/>
      <color indexed="81"/>
      <name val="Tahoma"/>
      <family val="2"/>
    </font>
    <font>
      <sz val="9"/>
      <color indexed="81"/>
      <name val="Tahoma"/>
      <family val="2"/>
    </font>
    <font>
      <i/>
      <sz val="9"/>
      <color theme="1"/>
      <name val="Calibri"/>
      <family val="2"/>
      <scheme val="minor"/>
    </font>
    <font>
      <i/>
      <vertAlign val="superscript"/>
      <sz val="9"/>
      <color theme="1"/>
      <name val="Calibri"/>
      <family val="2"/>
      <scheme val="minor"/>
    </font>
    <font>
      <sz val="9"/>
      <color rgb="FF333333"/>
      <name val="Arial"/>
      <family val="2"/>
    </font>
    <font>
      <sz val="11"/>
      <color rgb="FF333333"/>
      <name val="Inherit"/>
    </font>
    <font>
      <u/>
      <sz val="12"/>
      <color theme="10"/>
      <name val="Calibri"/>
      <family val="1"/>
      <scheme val="minor"/>
    </font>
    <font>
      <sz val="11"/>
      <color rgb="FF333333"/>
      <name val="Arial"/>
      <family val="2"/>
    </font>
    <font>
      <sz val="10"/>
      <name val="Calibri"/>
      <family val="1"/>
      <scheme val="minor"/>
    </font>
    <font>
      <b/>
      <sz val="12"/>
      <color rgb="FF333333"/>
      <name val="Calibri"/>
      <family val="2"/>
      <scheme val="minor"/>
    </font>
    <font>
      <b/>
      <sz val="12"/>
      <color rgb="FF000000"/>
      <name val="Inherit"/>
    </font>
    <font>
      <b/>
      <sz val="12"/>
      <color rgb="FF333333"/>
      <name val="Times New Roman"/>
      <family val="1"/>
    </font>
    <font>
      <sz val="12"/>
      <color rgb="FF333333"/>
      <name val="Times New Roman"/>
      <family val="1"/>
    </font>
    <font>
      <sz val="12"/>
      <color rgb="FF333333"/>
      <name val="Calibri"/>
      <family val="2"/>
    </font>
    <font>
      <sz val="12"/>
      <name val="Times New Roman"/>
      <family val="1"/>
    </font>
    <font>
      <b/>
      <sz val="12"/>
      <color rgb="FF000000"/>
      <name val="Calibri"/>
      <family val="2"/>
      <scheme val="minor"/>
    </font>
    <font>
      <b/>
      <sz val="10"/>
      <color theme="1"/>
      <name val="Calibri"/>
      <family val="2"/>
      <scheme val="minor"/>
    </font>
    <font>
      <b/>
      <sz val="10"/>
      <color indexed="8"/>
      <name val="ARIAL"/>
      <family val="2"/>
    </font>
    <font>
      <sz val="10"/>
      <name val="Geneva"/>
      <family val="2"/>
    </font>
    <font>
      <b/>
      <sz val="10"/>
      <name val="Arial"/>
      <family val="2"/>
    </font>
    <font>
      <b/>
      <sz val="10"/>
      <color theme="0"/>
      <name val="Arial"/>
      <family val="2"/>
    </font>
    <font>
      <b/>
      <sz val="12"/>
      <color theme="0"/>
      <name val="Arial"/>
      <family val="2"/>
    </font>
    <font>
      <b/>
      <sz val="11"/>
      <color rgb="FFFF0000"/>
      <name val="Calibri"/>
      <family val="2"/>
      <scheme val="minor"/>
    </font>
    <font>
      <b/>
      <sz val="11"/>
      <name val="Calibri"/>
      <family val="2"/>
      <scheme val="minor"/>
    </font>
    <font>
      <b/>
      <sz val="10"/>
      <name val="Calibri"/>
      <family val="2"/>
      <scheme val="minor"/>
    </font>
    <font>
      <b/>
      <sz val="10"/>
      <color rgb="FFFF0000"/>
      <name val="Arial"/>
      <family val="2"/>
    </font>
    <font>
      <u/>
      <sz val="11"/>
      <color theme="10"/>
      <name val="Calibri"/>
      <family val="2"/>
      <scheme val="minor"/>
    </font>
    <font>
      <sz val="7"/>
      <name val="Arial"/>
      <family val="2"/>
    </font>
    <font>
      <b/>
      <sz val="7"/>
      <color theme="1"/>
      <name val="Arial"/>
      <family val="2"/>
    </font>
    <font>
      <b/>
      <sz val="7"/>
      <name val="Arial"/>
      <family val="2"/>
    </font>
    <font>
      <sz val="10"/>
      <color theme="1"/>
      <name val="Arial"/>
      <family val="2"/>
    </font>
    <font>
      <sz val="18"/>
      <color theme="1"/>
      <name val="Calibri"/>
      <family val="2"/>
      <scheme val="minor"/>
    </font>
    <font>
      <b/>
      <sz val="11"/>
      <color theme="8" tint="-0.249977111117893"/>
      <name val="Calibri"/>
      <family val="2"/>
      <scheme val="minor"/>
    </font>
    <font>
      <b/>
      <sz val="8"/>
      <color theme="8" tint="-0.249977111117893"/>
      <name val="Calibri"/>
      <family val="2"/>
      <scheme val="minor"/>
    </font>
    <font>
      <sz val="8"/>
      <color theme="1"/>
      <name val="Calibri"/>
      <family val="2"/>
      <scheme val="minor"/>
    </font>
    <font>
      <b/>
      <sz val="12"/>
      <color theme="8" tint="-0.249977111117893"/>
      <name val="Calibri"/>
      <family val="2"/>
      <scheme val="minor"/>
    </font>
    <font>
      <sz val="11"/>
      <name val="Calibri"/>
      <family val="1"/>
      <scheme val="minor"/>
    </font>
    <font>
      <sz val="11"/>
      <color rgb="FF404040"/>
      <name val="Calibri"/>
      <family val="2"/>
      <scheme val="minor"/>
    </font>
    <font>
      <u/>
      <sz val="10"/>
      <color theme="10"/>
      <name val="Arial"/>
      <family val="2"/>
    </font>
    <font>
      <sz val="10"/>
      <color indexed="8"/>
      <name val="Arial"/>
      <family val="2"/>
    </font>
    <font>
      <b/>
      <sz val="10"/>
      <color theme="1"/>
      <name val="Arial"/>
      <family val="2"/>
    </font>
    <font>
      <sz val="8"/>
      <name val="Arial"/>
      <family val="2"/>
    </font>
    <font>
      <sz val="8"/>
      <color theme="1"/>
      <name val="Arial"/>
      <family val="2"/>
    </font>
    <font>
      <b/>
      <sz val="16"/>
      <name val="Arial"/>
      <family val="2"/>
    </font>
    <font>
      <i/>
      <sz val="11"/>
      <color theme="1"/>
      <name val="Calibri"/>
      <family val="2"/>
      <scheme val="minor"/>
    </font>
    <font>
      <sz val="11"/>
      <color rgb="FF1F497D"/>
      <name val="Calibri"/>
      <family val="2"/>
      <scheme val="minor"/>
    </font>
    <font>
      <b/>
      <sz val="8"/>
      <name val="Arial"/>
      <family val="2"/>
    </font>
    <font>
      <sz val="8"/>
      <color rgb="FF000000"/>
      <name val="Arial"/>
      <family val="2"/>
    </font>
    <font>
      <b/>
      <sz val="12"/>
      <name val="Arial"/>
      <family val="2"/>
    </font>
    <font>
      <sz val="14"/>
      <name val="Arial"/>
      <family val="2"/>
    </font>
    <font>
      <b/>
      <sz val="14"/>
      <name val="Arial"/>
      <family val="2"/>
    </font>
    <font>
      <b/>
      <sz val="9"/>
      <name val="Calibri"/>
      <family val="2"/>
      <scheme val="minor"/>
    </font>
    <font>
      <b/>
      <sz val="9"/>
      <color theme="0"/>
      <name val="Calibri"/>
      <family val="2"/>
      <scheme val="minor"/>
    </font>
    <font>
      <b/>
      <sz val="12"/>
      <name val="Calibri"/>
      <family val="1"/>
      <scheme val="minor"/>
    </font>
    <font>
      <b/>
      <sz val="9"/>
      <name val="Arial"/>
      <family val="2"/>
    </font>
    <font>
      <u/>
      <sz val="12"/>
      <color theme="11"/>
      <name val="Calibri"/>
      <family val="1"/>
      <scheme val="minor"/>
    </font>
    <font>
      <b/>
      <sz val="9"/>
      <color theme="1"/>
      <name val="Arial"/>
      <family val="2"/>
    </font>
    <font>
      <sz val="9"/>
      <name val="Arial"/>
      <family val="2"/>
    </font>
    <font>
      <sz val="9"/>
      <color rgb="FF000000"/>
      <name val="Arial"/>
      <family val="2"/>
    </font>
    <font>
      <b/>
      <sz val="8"/>
      <color theme="1"/>
      <name val="Arial"/>
      <family val="2"/>
    </font>
    <font>
      <b/>
      <sz val="10"/>
      <color rgb="FF000000"/>
      <name val="Arial"/>
      <family val="2"/>
    </font>
    <font>
      <sz val="11"/>
      <color rgb="FF4F5456"/>
      <name val="Calibri"/>
      <family val="2"/>
      <scheme val="minor"/>
    </font>
    <font>
      <sz val="11"/>
      <color rgb="FF7F7F7F"/>
      <name val="Calibri"/>
      <family val="2"/>
      <scheme val="minor"/>
    </font>
    <font>
      <sz val="11"/>
      <color rgb="FF505151"/>
      <name val="Calibri"/>
      <family val="2"/>
      <scheme val="minor"/>
    </font>
    <font>
      <sz val="11"/>
      <color rgb="FF1A1F71"/>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FF"/>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ED2"/>
        <bgColor indexed="64"/>
      </patternFill>
    </fill>
    <fill>
      <patternFill patternType="solid">
        <fgColor rgb="FFFFFF99"/>
        <bgColor indexed="64"/>
      </patternFill>
    </fill>
    <fill>
      <patternFill patternType="solid">
        <fgColor rgb="FF0070C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C000"/>
        <bgColor indexed="64"/>
      </patternFill>
    </fill>
  </fills>
  <borders count="1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auto="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indexed="64"/>
      </bottom>
      <diagonal/>
    </border>
    <border>
      <left style="double">
        <color auto="1"/>
      </left>
      <right/>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auto="1"/>
      </right>
      <top style="thin">
        <color auto="1"/>
      </top>
      <bottom/>
      <diagonal/>
    </border>
    <border>
      <left/>
      <right style="thin">
        <color auto="1"/>
      </right>
      <top/>
      <bottom/>
      <diagonal/>
    </border>
    <border>
      <left style="double">
        <color auto="1"/>
      </left>
      <right style="double">
        <color auto="1"/>
      </right>
      <top style="double">
        <color auto="1"/>
      </top>
      <bottom style="double">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diagonal/>
    </border>
    <border>
      <left style="double">
        <color auto="1"/>
      </left>
      <right style="medium">
        <color auto="1"/>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medium">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indexed="64"/>
      </top>
      <bottom/>
      <diagonal/>
    </border>
    <border>
      <left/>
      <right style="thick">
        <color auto="1"/>
      </right>
      <top style="medium">
        <color auto="1"/>
      </top>
      <bottom/>
      <diagonal/>
    </border>
    <border>
      <left style="thick">
        <color auto="1"/>
      </left>
      <right/>
      <top/>
      <bottom/>
      <diagonal/>
    </border>
    <border>
      <left/>
      <right style="thick">
        <color auto="1"/>
      </right>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indexed="64"/>
      </top>
      <bottom style="double">
        <color indexed="64"/>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right style="thin">
        <color indexed="64"/>
      </right>
      <top/>
      <bottom style="thick">
        <color auto="1"/>
      </bottom>
      <diagonal/>
    </border>
    <border>
      <left style="thin">
        <color indexed="64"/>
      </left>
      <right style="thin">
        <color indexed="64"/>
      </right>
      <top/>
      <bottom style="medium">
        <color indexed="64"/>
      </bottom>
      <diagonal/>
    </border>
    <border>
      <left/>
      <right style="thin">
        <color auto="1"/>
      </right>
      <top style="thick">
        <color auto="1"/>
      </top>
      <bottom/>
      <diagonal/>
    </border>
    <border>
      <left style="thin">
        <color auto="1"/>
      </left>
      <right/>
      <top style="thin">
        <color auto="1"/>
      </top>
      <bottom style="thick">
        <color auto="1"/>
      </bottom>
      <diagonal/>
    </border>
    <border>
      <left/>
      <right style="thin">
        <color indexed="64"/>
      </right>
      <top style="medium">
        <color auto="1"/>
      </top>
      <bottom style="medium">
        <color auto="1"/>
      </bottom>
      <diagonal/>
    </border>
    <border>
      <left style="thin">
        <color indexed="64"/>
      </left>
      <right style="medium">
        <color indexed="64"/>
      </right>
      <top/>
      <bottom/>
      <diagonal/>
    </border>
    <border>
      <left style="double">
        <color auto="1"/>
      </left>
      <right/>
      <top style="double">
        <color auto="1"/>
      </top>
      <bottom style="double">
        <color auto="1"/>
      </bottom>
      <diagonal/>
    </border>
    <border>
      <left style="medium">
        <color indexed="64"/>
      </left>
      <right style="medium">
        <color indexed="64"/>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indexed="64"/>
      </top>
      <bottom/>
      <diagonal/>
    </border>
    <border>
      <left style="thin">
        <color auto="1"/>
      </left>
      <right style="thick">
        <color auto="1"/>
      </right>
      <top/>
      <bottom/>
      <diagonal/>
    </border>
    <border>
      <left style="thick">
        <color auto="1"/>
      </left>
      <right style="thick">
        <color auto="1"/>
      </right>
      <top style="thin">
        <color auto="1"/>
      </top>
      <bottom style="thin">
        <color auto="1"/>
      </bottom>
      <diagonal/>
    </border>
    <border>
      <left style="thick">
        <color auto="1"/>
      </left>
      <right style="thick">
        <color auto="1"/>
      </right>
      <top/>
      <bottom/>
      <diagonal/>
    </border>
    <border>
      <left style="thick">
        <color auto="1"/>
      </left>
      <right style="thick">
        <color auto="1"/>
      </right>
      <top style="medium">
        <color auto="1"/>
      </top>
      <bottom/>
      <diagonal/>
    </border>
    <border>
      <left/>
      <right style="thin">
        <color auto="1"/>
      </right>
      <top style="medium">
        <color auto="1"/>
      </top>
      <bottom/>
      <diagonal/>
    </border>
    <border>
      <left style="thick">
        <color auto="1"/>
      </left>
      <right style="thick">
        <color auto="1"/>
      </right>
      <top/>
      <bottom style="medium">
        <color auto="1"/>
      </bottom>
      <diagonal/>
    </border>
    <border>
      <left/>
      <right style="thin">
        <color auto="1"/>
      </right>
      <top/>
      <bottom style="medium">
        <color auto="1"/>
      </bottom>
      <diagonal/>
    </border>
    <border>
      <left style="thick">
        <color auto="1"/>
      </left>
      <right style="thick">
        <color auto="1"/>
      </right>
      <top/>
      <bottom style="thin">
        <color indexed="64"/>
      </bottom>
      <diagonal/>
    </border>
    <border>
      <left style="thin">
        <color auto="1"/>
      </left>
      <right style="thick">
        <color auto="1"/>
      </right>
      <top style="thin">
        <color auto="1"/>
      </top>
      <bottom style="medium">
        <color indexed="64"/>
      </bottom>
      <diagonal/>
    </border>
    <border>
      <left/>
      <right style="thick">
        <color auto="1"/>
      </right>
      <top style="thin">
        <color auto="1"/>
      </top>
      <bottom style="medium">
        <color indexed="64"/>
      </bottom>
      <diagonal/>
    </border>
    <border>
      <left style="thick">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ck">
        <color auto="1"/>
      </left>
      <right style="thick">
        <color auto="1"/>
      </right>
      <top style="thin">
        <color auto="1"/>
      </top>
      <bottom style="thick">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auto="1"/>
      </left>
      <right style="thick">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auto="1"/>
      </left>
      <right style="thick">
        <color auto="1"/>
      </right>
      <top style="medium">
        <color auto="1"/>
      </top>
      <bottom style="thin">
        <color auto="1"/>
      </bottom>
      <diagonal/>
    </border>
    <border>
      <left style="medium">
        <color auto="1"/>
      </left>
      <right style="thick">
        <color auto="1"/>
      </right>
      <top style="thin">
        <color auto="1"/>
      </top>
      <bottom style="thin">
        <color auto="1"/>
      </bottom>
      <diagonal/>
    </border>
    <border>
      <left/>
      <right style="thin">
        <color rgb="FF000000"/>
      </right>
      <top style="thin">
        <color rgb="FF000000"/>
      </top>
      <bottom/>
      <diagonal/>
    </border>
    <border>
      <left/>
      <right/>
      <top style="thin">
        <color auto="1"/>
      </top>
      <bottom style="thick">
        <color auto="1"/>
      </bottom>
      <diagonal/>
    </border>
    <border>
      <left style="medium">
        <color auto="1"/>
      </left>
      <right style="thick">
        <color auto="1"/>
      </right>
      <top style="thin">
        <color auto="1"/>
      </top>
      <bottom style="thick">
        <color auto="1"/>
      </bottom>
      <diagonal/>
    </border>
    <border>
      <left style="thin">
        <color auto="1"/>
      </left>
      <right style="medium">
        <color auto="1"/>
      </right>
      <top style="thin">
        <color auto="1"/>
      </top>
      <bottom style="thin">
        <color auto="1"/>
      </bottom>
      <diagonal/>
    </border>
  </borders>
  <cellStyleXfs count="192">
    <xf numFmtId="0" fontId="0" fillId="0" borderId="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4" applyNumberFormat="0" applyAlignment="0" applyProtection="0"/>
    <xf numFmtId="0" fontId="42" fillId="6" borderId="5" applyNumberFormat="0" applyAlignment="0" applyProtection="0"/>
    <xf numFmtId="0" fontId="43" fillId="6" borderId="4" applyNumberFormat="0" applyAlignment="0" applyProtection="0"/>
    <xf numFmtId="0" fontId="44" fillId="0" borderId="6" applyNumberFormat="0" applyFill="0" applyAlignment="0" applyProtection="0"/>
    <xf numFmtId="0" fontId="45" fillId="7" borderId="7"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2" borderId="0" applyNumberFormat="0" applyBorder="0" applyAlignment="0" applyProtection="0"/>
    <xf numFmtId="0" fontId="33" fillId="0" borderId="0"/>
    <xf numFmtId="0" fontId="33" fillId="10" borderId="0" applyNumberFormat="0" applyBorder="0" applyAlignment="0" applyProtection="0"/>
    <xf numFmtId="43" fontId="33" fillId="0" borderId="0" applyFont="0" applyFill="0" applyBorder="0" applyAlignment="0" applyProtection="0"/>
    <xf numFmtId="0" fontId="33" fillId="8" borderId="8" applyNumberFormat="0" applyFont="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9" fontId="33" fillId="0" borderId="0" applyFont="0" applyFill="0" applyBorder="0" applyAlignment="0" applyProtection="0"/>
    <xf numFmtId="0" fontId="63" fillId="0" borderId="0"/>
    <xf numFmtId="0" fontId="32" fillId="0" borderId="0"/>
    <xf numFmtId="44" fontId="32" fillId="0" borderId="0" applyFont="0" applyFill="0" applyBorder="0" applyAlignment="0" applyProtection="0"/>
    <xf numFmtId="0" fontId="73" fillId="0" borderId="0"/>
    <xf numFmtId="43" fontId="57" fillId="0" borderId="0" applyFont="0" applyFill="0" applyBorder="0" applyAlignment="0" applyProtection="0"/>
    <xf numFmtId="0" fontId="31" fillId="0" borderId="0"/>
    <xf numFmtId="44" fontId="31" fillId="0" borderId="0" applyFont="0" applyFill="0" applyBorder="0" applyAlignment="0" applyProtection="0"/>
    <xf numFmtId="0" fontId="81" fillId="0" borderId="0" applyNumberFormat="0" applyFill="0" applyBorder="0" applyAlignment="0" applyProtection="0"/>
    <xf numFmtId="0" fontId="63" fillId="0" borderId="0"/>
    <xf numFmtId="0" fontId="93" fillId="0" borderId="0"/>
    <xf numFmtId="0" fontId="63" fillId="0" borderId="0"/>
    <xf numFmtId="0" fontId="28" fillId="0" borderId="0"/>
    <xf numFmtId="0" fontId="27" fillId="0" borderId="0"/>
    <xf numFmtId="0" fontId="101" fillId="0" borderId="0" applyNumberFormat="0" applyFill="0" applyBorder="0" applyAlignment="0" applyProtection="0"/>
    <xf numFmtId="0" fontId="26" fillId="0" borderId="0"/>
    <xf numFmtId="0" fontId="25" fillId="0" borderId="0"/>
    <xf numFmtId="0" fontId="105" fillId="0" borderId="0"/>
    <xf numFmtId="0" fontId="113" fillId="0" borderId="0" applyNumberFormat="0" applyFill="0" applyBorder="0" applyAlignment="0" applyProtection="0">
      <alignment vertical="top"/>
      <protection locked="0"/>
    </xf>
    <xf numFmtId="0" fontId="24" fillId="0" borderId="0"/>
    <xf numFmtId="44" fontId="24" fillId="0" borderId="0" applyFont="0" applyFill="0" applyBorder="0" applyAlignment="0" applyProtection="0"/>
    <xf numFmtId="0" fontId="23" fillId="0" borderId="0"/>
    <xf numFmtId="0" fontId="19" fillId="0" borderId="0"/>
    <xf numFmtId="0" fontId="19" fillId="0" borderId="0"/>
    <xf numFmtId="0" fontId="18" fillId="0" borderId="0"/>
    <xf numFmtId="0" fontId="17" fillId="0" borderId="0"/>
    <xf numFmtId="0" fontId="15" fillId="0" borderId="0"/>
    <xf numFmtId="0" fontId="10" fillId="0" borderId="0"/>
    <xf numFmtId="0" fontId="9" fillId="0" borderId="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8" applyNumberFormat="0" applyFont="0" applyAlignment="0" applyProtection="0"/>
    <xf numFmtId="9" fontId="9" fillId="0" borderId="0" applyFon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81" fillId="0" borderId="0" applyNumberFormat="0" applyFill="0" applyBorder="0" applyAlignment="0" applyProtection="0"/>
    <xf numFmtId="0" fontId="130" fillId="0" borderId="0" applyNumberFormat="0" applyFill="0" applyBorder="0" applyAlignment="0" applyProtection="0"/>
    <xf numFmtId="0" fontId="7" fillId="0" borderId="0"/>
    <xf numFmtId="0" fontId="7"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1" fillId="0" borderId="0" applyNumberFormat="0" applyFill="0" applyBorder="0" applyAlignment="0" applyProtection="0"/>
    <xf numFmtId="0" fontId="4" fillId="0" borderId="0"/>
  </cellStyleXfs>
  <cellXfs count="1707">
    <xf numFmtId="0" fontId="0" fillId="0" borderId="0" xfId="0"/>
    <xf numFmtId="0" fontId="50" fillId="0" borderId="0" xfId="0" applyFont="1"/>
    <xf numFmtId="0" fontId="51" fillId="0" borderId="0" xfId="0" applyFont="1"/>
    <xf numFmtId="3" fontId="0" fillId="0" borderId="0" xfId="0" applyNumberFormat="1"/>
    <xf numFmtId="3" fontId="51" fillId="0" borderId="0" xfId="0" applyNumberFormat="1" applyFont="1"/>
    <xf numFmtId="0" fontId="52" fillId="0" borderId="0" xfId="0" applyFont="1"/>
    <xf numFmtId="3" fontId="50" fillId="0" borderId="0" xfId="0" applyNumberFormat="1" applyFont="1"/>
    <xf numFmtId="0" fontId="53" fillId="0" borderId="0" xfId="0" applyFont="1"/>
    <xf numFmtId="0" fontId="0" fillId="0" borderId="0" xfId="0" applyAlignment="1">
      <alignment wrapText="1"/>
    </xf>
    <xf numFmtId="0" fontId="50" fillId="0" borderId="10" xfId="0" applyFont="1" applyBorder="1" applyAlignment="1">
      <alignment wrapText="1"/>
    </xf>
    <xf numFmtId="3" fontId="50" fillId="0" borderId="10" xfId="0" applyNumberFormat="1" applyFont="1" applyBorder="1" applyAlignment="1">
      <alignment horizontal="center" wrapText="1"/>
    </xf>
    <xf numFmtId="0" fontId="0" fillId="0" borderId="0" xfId="0"/>
    <xf numFmtId="2" fontId="0" fillId="0" borderId="0" xfId="0" applyNumberFormat="1"/>
    <xf numFmtId="0" fontId="50" fillId="0" borderId="0" xfId="0" applyFont="1"/>
    <xf numFmtId="3" fontId="0" fillId="0" borderId="0" xfId="0" applyNumberFormat="1"/>
    <xf numFmtId="0" fontId="50" fillId="0" borderId="10" xfId="0" applyFont="1" applyBorder="1"/>
    <xf numFmtId="3" fontId="50" fillId="0" borderId="10" xfId="0" applyNumberFormat="1" applyFont="1" applyBorder="1" applyAlignment="1">
      <alignment horizontal="center"/>
    </xf>
    <xf numFmtId="3" fontId="50" fillId="0" borderId="10" xfId="0" applyNumberFormat="1" applyFont="1" applyBorder="1" applyAlignment="1">
      <alignment horizontal="center" wrapText="1"/>
    </xf>
    <xf numFmtId="0" fontId="50" fillId="0" borderId="0" xfId="0" applyFont="1" applyAlignment="1">
      <alignment horizontal="right"/>
    </xf>
    <xf numFmtId="0" fontId="54" fillId="0" borderId="0" xfId="0" applyFont="1" applyAlignment="1">
      <alignment horizontal="right"/>
    </xf>
    <xf numFmtId="3" fontId="54" fillId="0" borderId="0" xfId="0" applyNumberFormat="1" applyFont="1"/>
    <xf numFmtId="0" fontId="52" fillId="0" borderId="0" xfId="0" applyFont="1" applyAlignment="1"/>
    <xf numFmtId="0" fontId="52" fillId="0" borderId="1" xfId="2" applyFont="1" applyAlignment="1"/>
    <xf numFmtId="0" fontId="33" fillId="0" borderId="0" xfId="29"/>
    <xf numFmtId="0" fontId="35" fillId="0" borderId="1" xfId="2" applyAlignment="1"/>
    <xf numFmtId="0" fontId="33" fillId="0" borderId="0" xfId="29" applyFont="1" applyBorder="1"/>
    <xf numFmtId="0" fontId="59" fillId="0" borderId="0" xfId="29" applyFont="1" applyFill="1"/>
    <xf numFmtId="0" fontId="59" fillId="0" borderId="0" xfId="29" applyFont="1"/>
    <xf numFmtId="0" fontId="58" fillId="10" borderId="0" xfId="30" applyFont="1" applyBorder="1" applyAlignment="1">
      <alignment horizontal="right"/>
    </xf>
    <xf numFmtId="21" fontId="59" fillId="0" borderId="0" xfId="29" applyNumberFormat="1" applyFont="1" applyAlignment="1">
      <alignment horizontal="center"/>
    </xf>
    <xf numFmtId="3" fontId="59" fillId="0" borderId="0" xfId="29" applyNumberFormat="1" applyFont="1"/>
    <xf numFmtId="0" fontId="58" fillId="0" borderId="9" xfId="16" applyFont="1" applyAlignment="1">
      <alignment horizontal="left"/>
    </xf>
    <xf numFmtId="3" fontId="58" fillId="0" borderId="9" xfId="16" applyNumberFormat="1" applyFont="1" applyAlignment="1">
      <alignment horizontal="right"/>
    </xf>
    <xf numFmtId="0" fontId="59" fillId="0" borderId="0" xfId="29" applyFont="1" applyBorder="1"/>
    <xf numFmtId="0" fontId="61" fillId="0" borderId="0" xfId="2" applyFont="1" applyBorder="1" applyAlignment="1"/>
    <xf numFmtId="0" fontId="58" fillId="0" borderId="0" xfId="29" applyFont="1"/>
    <xf numFmtId="3" fontId="62" fillId="0" borderId="0" xfId="29" applyNumberFormat="1" applyFont="1" applyFill="1" applyBorder="1" applyAlignment="1">
      <alignment horizontal="right"/>
    </xf>
    <xf numFmtId="3" fontId="59" fillId="0" borderId="0" xfId="29" applyNumberFormat="1" applyFont="1" applyFill="1" applyBorder="1"/>
    <xf numFmtId="0" fontId="63" fillId="0" borderId="0" xfId="45"/>
    <xf numFmtId="0" fontId="32" fillId="0" borderId="0" xfId="46"/>
    <xf numFmtId="0" fontId="53" fillId="0" borderId="0" xfId="45" applyFont="1"/>
    <xf numFmtId="0" fontId="63" fillId="0" borderId="0" xfId="45" applyFont="1"/>
    <xf numFmtId="0" fontId="58" fillId="0" borderId="0" xfId="46" applyFont="1" applyAlignment="1"/>
    <xf numFmtId="0" fontId="58" fillId="0" borderId="13" xfId="46" applyFont="1" applyBorder="1" applyAlignment="1">
      <alignment horizontal="center" wrapText="1"/>
    </xf>
    <xf numFmtId="0" fontId="57" fillId="0" borderId="0" xfId="0" applyFont="1"/>
    <xf numFmtId="0" fontId="59" fillId="0" borderId="0" xfId="46" applyFont="1"/>
    <xf numFmtId="3" fontId="59" fillId="0" borderId="0" xfId="46" applyNumberFormat="1" applyFont="1"/>
    <xf numFmtId="0" fontId="67" fillId="0" borderId="0" xfId="45" applyFont="1"/>
    <xf numFmtId="3" fontId="53" fillId="0" borderId="0" xfId="45" applyNumberFormat="1" applyFont="1"/>
    <xf numFmtId="0" fontId="52" fillId="0" borderId="0" xfId="46" applyFont="1" applyAlignment="1">
      <alignment horizontal="center"/>
    </xf>
    <xf numFmtId="0" fontId="48" fillId="0" borderId="14" xfId="46" applyFont="1" applyBorder="1" applyAlignment="1">
      <alignment wrapText="1"/>
    </xf>
    <xf numFmtId="0" fontId="68" fillId="0" borderId="15" xfId="46" applyFont="1" applyBorder="1" applyAlignment="1">
      <alignment wrapText="1"/>
    </xf>
    <xf numFmtId="0" fontId="48" fillId="0" borderId="16" xfId="46" applyFont="1" applyBorder="1" applyAlignment="1">
      <alignment horizontal="center" wrapText="1"/>
    </xf>
    <xf numFmtId="0" fontId="48" fillId="0" borderId="17" xfId="46" applyFont="1" applyBorder="1" applyAlignment="1">
      <alignment horizontal="center" wrapText="1"/>
    </xf>
    <xf numFmtId="0" fontId="48" fillId="0" borderId="17" xfId="46" applyFont="1" applyBorder="1" applyAlignment="1">
      <alignment wrapText="1"/>
    </xf>
    <xf numFmtId="0" fontId="32" fillId="0" borderId="0" xfId="46" applyAlignment="1">
      <alignment wrapText="1"/>
    </xf>
    <xf numFmtId="0" fontId="32" fillId="35" borderId="0" xfId="46" applyFill="1"/>
    <xf numFmtId="0" fontId="69" fillId="35" borderId="17" xfId="46" applyFont="1" applyFill="1" applyBorder="1" applyAlignment="1">
      <alignment wrapText="1"/>
    </xf>
    <xf numFmtId="0" fontId="32" fillId="0" borderId="17" xfId="46" applyBorder="1"/>
    <xf numFmtId="0" fontId="32" fillId="34" borderId="17" xfId="46" applyFill="1" applyBorder="1"/>
    <xf numFmtId="0" fontId="48" fillId="36" borderId="17" xfId="46" applyFont="1" applyFill="1" applyBorder="1" applyAlignment="1">
      <alignment horizontal="right"/>
    </xf>
    <xf numFmtId="0" fontId="48" fillId="36" borderId="17" xfId="46" applyFont="1" applyFill="1" applyBorder="1"/>
    <xf numFmtId="0" fontId="48" fillId="36" borderId="17" xfId="46" applyFont="1" applyFill="1" applyBorder="1" applyAlignment="1">
      <alignment horizontal="right" wrapText="1"/>
    </xf>
    <xf numFmtId="3" fontId="48" fillId="0" borderId="17" xfId="46" applyNumberFormat="1" applyFont="1" applyBorder="1"/>
    <xf numFmtId="0" fontId="58" fillId="0" borderId="0" xfId="46" applyFont="1" applyAlignment="1">
      <alignment horizontal="right"/>
    </xf>
    <xf numFmtId="0" fontId="70" fillId="0" borderId="0" xfId="46" applyFont="1"/>
    <xf numFmtId="0" fontId="32" fillId="0" borderId="0" xfId="46"/>
    <xf numFmtId="3" fontId="32" fillId="0" borderId="0" xfId="46" applyNumberFormat="1"/>
    <xf numFmtId="0" fontId="48" fillId="0" borderId="0" xfId="46" applyFont="1"/>
    <xf numFmtId="0" fontId="32" fillId="0" borderId="0" xfId="46" applyAlignment="1">
      <alignment horizontal="right"/>
    </xf>
    <xf numFmtId="0" fontId="71" fillId="0" borderId="0" xfId="46" applyFont="1"/>
    <xf numFmtId="0" fontId="68" fillId="34" borderId="17" xfId="46" applyFont="1" applyFill="1" applyBorder="1" applyAlignment="1">
      <alignment horizontal="center" wrapText="1"/>
    </xf>
    <xf numFmtId="3" fontId="32" fillId="34" borderId="17" xfId="46" applyNumberFormat="1" applyFill="1" applyBorder="1"/>
    <xf numFmtId="0" fontId="68" fillId="34" borderId="17" xfId="46" applyFont="1" applyFill="1" applyBorder="1" applyAlignment="1">
      <alignment horizontal="center" vertical="center" wrapText="1"/>
    </xf>
    <xf numFmtId="0" fontId="32" fillId="37" borderId="17" xfId="46" applyFill="1" applyBorder="1"/>
    <xf numFmtId="0" fontId="68" fillId="37" borderId="17" xfId="46" applyFont="1" applyFill="1" applyBorder="1" applyAlignment="1">
      <alignment horizontal="center"/>
    </xf>
    <xf numFmtId="0" fontId="68" fillId="37" borderId="17" xfId="46" applyFont="1" applyFill="1" applyBorder="1" applyAlignment="1">
      <alignment horizontal="center" vertical="center" wrapText="1"/>
    </xf>
    <xf numFmtId="3" fontId="32" fillId="37" borderId="17" xfId="46" applyNumberFormat="1" applyFill="1" applyBorder="1"/>
    <xf numFmtId="0" fontId="48" fillId="35" borderId="17" xfId="46" applyFont="1" applyFill="1" applyBorder="1" applyAlignment="1">
      <alignment horizontal="center" wrapText="1"/>
    </xf>
    <xf numFmtId="0" fontId="32" fillId="35" borderId="17" xfId="46" applyFill="1" applyBorder="1"/>
    <xf numFmtId="0" fontId="52" fillId="0" borderId="0" xfId="46" applyFont="1" applyBorder="1" applyAlignment="1">
      <alignment horizontal="left"/>
    </xf>
    <xf numFmtId="0" fontId="32" fillId="0" borderId="0" xfId="46" applyFont="1"/>
    <xf numFmtId="164" fontId="32" fillId="0" borderId="0" xfId="46" applyNumberFormat="1" applyFont="1"/>
    <xf numFmtId="0" fontId="32" fillId="0" borderId="0" xfId="46" applyFill="1"/>
    <xf numFmtId="0" fontId="66" fillId="40" borderId="0" xfId="46" applyFont="1" applyFill="1"/>
    <xf numFmtId="0" fontId="32" fillId="0" borderId="0" xfId="46" applyBorder="1"/>
    <xf numFmtId="0" fontId="32" fillId="0" borderId="26" xfId="46" applyFont="1" applyBorder="1"/>
    <xf numFmtId="0" fontId="32" fillId="0" borderId="0" xfId="46" applyFont="1" applyFill="1"/>
    <xf numFmtId="10" fontId="53" fillId="0" borderId="0" xfId="0" applyNumberFormat="1" applyFont="1"/>
    <xf numFmtId="0" fontId="32" fillId="0" borderId="0" xfId="46"/>
    <xf numFmtId="0" fontId="55" fillId="35" borderId="20" xfId="46" applyFont="1" applyFill="1" applyBorder="1" applyAlignment="1">
      <alignment horizontal="left" vertical="center" wrapText="1"/>
    </xf>
    <xf numFmtId="0" fontId="72" fillId="35" borderId="21" xfId="46" applyFont="1" applyFill="1" applyBorder="1" applyAlignment="1">
      <alignment horizontal="center" vertical="center" wrapText="1"/>
    </xf>
    <xf numFmtId="164" fontId="72" fillId="35" borderId="21" xfId="46" applyNumberFormat="1" applyFont="1" applyFill="1" applyBorder="1" applyAlignment="1">
      <alignment horizontal="center" vertical="center" wrapText="1"/>
    </xf>
    <xf numFmtId="0" fontId="72" fillId="35" borderId="22" xfId="46" applyFont="1" applyFill="1" applyBorder="1" applyAlignment="1">
      <alignment horizontal="center" vertical="center" wrapText="1"/>
    </xf>
    <xf numFmtId="3" fontId="55" fillId="35" borderId="21" xfId="46" applyNumberFormat="1" applyFont="1" applyFill="1" applyBorder="1" applyAlignment="1">
      <alignment horizontal="right" vertical="center" wrapText="1"/>
    </xf>
    <xf numFmtId="164" fontId="55" fillId="35" borderId="21" xfId="46" applyNumberFormat="1" applyFont="1" applyFill="1" applyBorder="1" applyAlignment="1">
      <alignment horizontal="right" vertical="center" wrapText="1"/>
    </xf>
    <xf numFmtId="3" fontId="55" fillId="35" borderId="22" xfId="46" applyNumberFormat="1" applyFont="1" applyFill="1" applyBorder="1" applyAlignment="1">
      <alignment horizontal="right" vertical="center" wrapText="1"/>
    </xf>
    <xf numFmtId="0" fontId="55" fillId="38" borderId="20" xfId="46" applyFont="1" applyFill="1" applyBorder="1" applyAlignment="1">
      <alignment horizontal="left" vertical="center" wrapText="1"/>
    </xf>
    <xf numFmtId="3" fontId="55" fillId="38" borderId="21" xfId="46" applyNumberFormat="1" applyFont="1" applyFill="1" applyBorder="1" applyAlignment="1">
      <alignment horizontal="right" vertical="center" wrapText="1"/>
    </xf>
    <xf numFmtId="165" fontId="55" fillId="38" borderId="21" xfId="46" applyNumberFormat="1" applyFont="1" applyFill="1" applyBorder="1" applyAlignment="1">
      <alignment horizontal="right" vertical="center" wrapText="1"/>
    </xf>
    <xf numFmtId="3" fontId="55" fillId="38" borderId="22" xfId="46" applyNumberFormat="1" applyFont="1" applyFill="1" applyBorder="1" applyAlignment="1">
      <alignment horizontal="right" vertical="center" wrapText="1"/>
    </xf>
    <xf numFmtId="0" fontId="55" fillId="35" borderId="32" xfId="46" applyFont="1" applyFill="1" applyBorder="1" applyAlignment="1">
      <alignment horizontal="left" vertical="center" wrapText="1"/>
    </xf>
    <xf numFmtId="3" fontId="55" fillId="35" borderId="33" xfId="46" applyNumberFormat="1" applyFont="1" applyFill="1" applyBorder="1" applyAlignment="1">
      <alignment horizontal="right" vertical="center" wrapText="1"/>
    </xf>
    <xf numFmtId="10" fontId="55" fillId="35" borderId="33" xfId="46" applyNumberFormat="1" applyFont="1" applyFill="1" applyBorder="1" applyAlignment="1">
      <alignment horizontal="right" vertical="center" wrapText="1"/>
    </xf>
    <xf numFmtId="3" fontId="55" fillId="35" borderId="34" xfId="46" applyNumberFormat="1" applyFont="1" applyFill="1" applyBorder="1" applyAlignment="1">
      <alignment horizontal="right" vertical="center" wrapText="1"/>
    </xf>
    <xf numFmtId="3" fontId="65" fillId="0" borderId="31" xfId="0" applyNumberFormat="1" applyFont="1" applyBorder="1"/>
    <xf numFmtId="0" fontId="55" fillId="38" borderId="31" xfId="46" applyFont="1" applyFill="1" applyBorder="1" applyAlignment="1">
      <alignment horizontal="right" vertical="center" wrapText="1"/>
    </xf>
    <xf numFmtId="0" fontId="64" fillId="0" borderId="0" xfId="0" applyFont="1"/>
    <xf numFmtId="3" fontId="55" fillId="34" borderId="21" xfId="46" applyNumberFormat="1" applyFont="1" applyFill="1" applyBorder="1" applyAlignment="1">
      <alignment horizontal="right" vertical="center" wrapText="1"/>
    </xf>
    <xf numFmtId="0" fontId="66" fillId="34" borderId="0" xfId="46" applyFont="1" applyFill="1"/>
    <xf numFmtId="0" fontId="32" fillId="34" borderId="0" xfId="46" applyFont="1" applyFill="1"/>
    <xf numFmtId="165" fontId="55" fillId="38" borderId="22" xfId="46" applyNumberFormat="1" applyFont="1" applyFill="1" applyBorder="1" applyAlignment="1">
      <alignment horizontal="right" vertical="center" wrapText="1"/>
    </xf>
    <xf numFmtId="0" fontId="55" fillId="38" borderId="23" xfId="46" applyFont="1" applyFill="1" applyBorder="1" applyAlignment="1">
      <alignment horizontal="left" vertical="center" wrapText="1"/>
    </xf>
    <xf numFmtId="3" fontId="55" fillId="38" borderId="24" xfId="46" applyNumberFormat="1" applyFont="1" applyFill="1" applyBorder="1" applyAlignment="1">
      <alignment horizontal="right" vertical="center" wrapText="1"/>
    </xf>
    <xf numFmtId="165" fontId="55" fillId="38" borderId="25" xfId="46" applyNumberFormat="1" applyFont="1" applyFill="1" applyBorder="1" applyAlignment="1">
      <alignment horizontal="right" vertical="center" wrapText="1"/>
    </xf>
    <xf numFmtId="0" fontId="72" fillId="38" borderId="0" xfId="46" applyFont="1" applyFill="1" applyBorder="1" applyAlignment="1">
      <alignment horizontal="left" vertical="center" wrapText="1"/>
    </xf>
    <xf numFmtId="0" fontId="72" fillId="38" borderId="0" xfId="46" applyFont="1" applyFill="1" applyBorder="1" applyAlignment="1" applyProtection="1">
      <alignment horizontal="left" vertical="center" wrapText="1"/>
      <protection locked="0"/>
    </xf>
    <xf numFmtId="0" fontId="55" fillId="35" borderId="18" xfId="46" applyFont="1" applyFill="1" applyBorder="1" applyAlignment="1">
      <alignment horizontal="left" vertical="center" wrapText="1"/>
    </xf>
    <xf numFmtId="165" fontId="55" fillId="35" borderId="22" xfId="46" applyNumberFormat="1" applyFont="1" applyFill="1" applyBorder="1" applyAlignment="1">
      <alignment horizontal="right" vertical="center" wrapText="1"/>
    </xf>
    <xf numFmtId="0" fontId="72" fillId="35" borderId="19" xfId="46" applyFont="1" applyFill="1" applyBorder="1" applyAlignment="1">
      <alignment horizontal="center" vertical="center" wrapText="1"/>
    </xf>
    <xf numFmtId="0" fontId="72" fillId="35" borderId="30" xfId="46" applyFont="1" applyFill="1" applyBorder="1" applyAlignment="1">
      <alignment horizontal="center" vertical="center" wrapText="1"/>
    </xf>
    <xf numFmtId="0" fontId="52" fillId="0" borderId="0" xfId="46" applyFont="1"/>
    <xf numFmtId="166" fontId="0" fillId="0" borderId="0" xfId="47" applyNumberFormat="1" applyFont="1"/>
    <xf numFmtId="0" fontId="54" fillId="0" borderId="0" xfId="46" applyFont="1"/>
    <xf numFmtId="0" fontId="50" fillId="0" borderId="0" xfId="48" applyFont="1" applyAlignment="1">
      <alignment wrapText="1"/>
    </xf>
    <xf numFmtId="0" fontId="50" fillId="0" borderId="0" xfId="48" applyFont="1" applyBorder="1" applyAlignment="1">
      <alignment horizontal="center" wrapText="1"/>
    </xf>
    <xf numFmtId="0" fontId="50" fillId="0" borderId="0" xfId="48" applyFont="1" applyAlignment="1">
      <alignment horizontal="center" wrapText="1"/>
    </xf>
    <xf numFmtId="0" fontId="60" fillId="39" borderId="0" xfId="46" applyFont="1" applyFill="1" applyAlignment="1">
      <alignment horizontal="center" wrapText="1"/>
    </xf>
    <xf numFmtId="0" fontId="73" fillId="0" borderId="0" xfId="48"/>
    <xf numFmtId="166" fontId="53" fillId="0" borderId="35" xfId="47" applyNumberFormat="1" applyFont="1" applyBorder="1" applyAlignment="1">
      <alignment horizontal="center"/>
    </xf>
    <xf numFmtId="40" fontId="53" fillId="0" borderId="35" xfId="48" applyNumberFormat="1" applyFont="1" applyBorder="1" applyAlignment="1">
      <alignment horizontal="center"/>
    </xf>
    <xf numFmtId="40" fontId="53" fillId="0" borderId="0" xfId="48" applyNumberFormat="1" applyFont="1" applyBorder="1" applyAlignment="1">
      <alignment horizontal="center"/>
    </xf>
    <xf numFmtId="0" fontId="50" fillId="0" borderId="0" xfId="48" applyFont="1"/>
    <xf numFmtId="166" fontId="53" fillId="0" borderId="0" xfId="47" applyNumberFormat="1" applyFont="1"/>
    <xf numFmtId="167" fontId="53" fillId="0" borderId="0" xfId="48" applyNumberFormat="1" applyFont="1" applyAlignment="1">
      <alignment horizontal="center"/>
    </xf>
    <xf numFmtId="167" fontId="53" fillId="0" borderId="0" xfId="48" applyNumberFormat="1" applyFont="1" applyBorder="1" applyAlignment="1">
      <alignment horizontal="center"/>
    </xf>
    <xf numFmtId="167" fontId="53" fillId="0" borderId="0" xfId="48" applyNumberFormat="1" applyFont="1" applyFill="1" applyAlignment="1">
      <alignment horizontal="center"/>
    </xf>
    <xf numFmtId="40" fontId="53" fillId="0" borderId="0" xfId="48" applyNumberFormat="1" applyFont="1"/>
    <xf numFmtId="40" fontId="53" fillId="0" borderId="0" xfId="48" applyNumberFormat="1" applyFont="1" applyBorder="1"/>
    <xf numFmtId="0" fontId="50" fillId="0" borderId="35" xfId="48" quotePrefix="1" applyFont="1" applyBorder="1" applyAlignment="1">
      <alignment horizontal="left"/>
    </xf>
    <xf numFmtId="166" fontId="53" fillId="0" borderId="35" xfId="47" applyNumberFormat="1" applyFont="1" applyBorder="1"/>
    <xf numFmtId="40" fontId="53" fillId="0" borderId="35" xfId="48" applyNumberFormat="1" applyFont="1" applyBorder="1"/>
    <xf numFmtId="0" fontId="50" fillId="0" borderId="0" xfId="48" quotePrefix="1" applyFont="1" applyAlignment="1">
      <alignment horizontal="left"/>
    </xf>
    <xf numFmtId="44" fontId="53" fillId="0" borderId="35" xfId="47" applyFont="1" applyBorder="1"/>
    <xf numFmtId="44" fontId="53" fillId="0" borderId="0" xfId="47" applyFont="1" applyBorder="1"/>
    <xf numFmtId="0" fontId="50" fillId="39" borderId="0" xfId="48" applyFont="1" applyFill="1" applyAlignment="1">
      <alignment horizontal="left" indent="1"/>
    </xf>
    <xf numFmtId="166" fontId="50" fillId="39" borderId="0" xfId="47" applyNumberFormat="1" applyFont="1" applyFill="1"/>
    <xf numFmtId="40" fontId="50" fillId="39" borderId="0" xfId="48" applyNumberFormat="1" applyFont="1" applyFill="1"/>
    <xf numFmtId="0" fontId="50" fillId="0" borderId="0" xfId="48" applyFont="1" applyAlignment="1">
      <alignment horizontal="left" indent="1"/>
    </xf>
    <xf numFmtId="167" fontId="50" fillId="39" borderId="0" xfId="48" applyNumberFormat="1" applyFont="1" applyFill="1"/>
    <xf numFmtId="40" fontId="50" fillId="0" borderId="0" xfId="48" applyNumberFormat="1" applyFont="1" applyBorder="1"/>
    <xf numFmtId="40" fontId="50" fillId="0" borderId="0" xfId="48" applyNumberFormat="1" applyFont="1"/>
    <xf numFmtId="167" fontId="50" fillId="0" borderId="0" xfId="48" applyNumberFormat="1" applyFont="1" applyFill="1"/>
    <xf numFmtId="0" fontId="53" fillId="0" borderId="0" xfId="48" applyFont="1" applyAlignment="1">
      <alignment horizontal="left" indent="1"/>
    </xf>
    <xf numFmtId="166" fontId="53" fillId="0" borderId="0" xfId="47" applyNumberFormat="1" applyFont="1" applyFill="1"/>
    <xf numFmtId="44" fontId="53" fillId="0" borderId="0" xfId="47" applyNumberFormat="1" applyFont="1"/>
    <xf numFmtId="0" fontId="54" fillId="0" borderId="0" xfId="48" quotePrefix="1" applyFont="1" applyAlignment="1">
      <alignment horizontal="left"/>
    </xf>
    <xf numFmtId="0" fontId="74" fillId="0" borderId="0" xfId="48" applyFont="1"/>
    <xf numFmtId="0" fontId="53" fillId="0" borderId="0" xfId="48" applyFont="1" applyBorder="1" applyAlignment="1">
      <alignment horizontal="center"/>
    </xf>
    <xf numFmtId="0" fontId="59" fillId="0" borderId="15" xfId="46" applyFont="1" applyBorder="1" applyAlignment="1">
      <alignment horizontal="center"/>
    </xf>
    <xf numFmtId="0" fontId="59" fillId="0" borderId="0" xfId="46" applyFont="1" applyBorder="1" applyAlignment="1">
      <alignment horizontal="center"/>
    </xf>
    <xf numFmtId="49" fontId="59" fillId="0" borderId="0" xfId="46" applyNumberFormat="1" applyFont="1" applyAlignment="1">
      <alignment horizontal="left" vertical="top"/>
    </xf>
    <xf numFmtId="166" fontId="59" fillId="0" borderId="0" xfId="47" applyNumberFormat="1" applyFont="1"/>
    <xf numFmtId="166" fontId="53" fillId="0" borderId="0" xfId="47" applyNumberFormat="1" applyFont="1" applyBorder="1"/>
    <xf numFmtId="166" fontId="59" fillId="0" borderId="0" xfId="47" applyNumberFormat="1" applyFont="1" applyBorder="1"/>
    <xf numFmtId="167" fontId="53" fillId="0" borderId="0" xfId="48" applyNumberFormat="1" applyFont="1" applyFill="1" applyBorder="1" applyAlignment="1">
      <alignment horizontal="center"/>
    </xf>
    <xf numFmtId="40" fontId="53" fillId="0" borderId="0" xfId="48" applyNumberFormat="1" applyFont="1" applyFill="1" applyAlignment="1">
      <alignment horizontal="center"/>
    </xf>
    <xf numFmtId="0" fontId="59" fillId="0" borderId="0" xfId="46" applyFont="1" applyBorder="1"/>
    <xf numFmtId="166" fontId="53" fillId="0" borderId="0" xfId="47" applyNumberFormat="1" applyFont="1" applyFill="1" applyBorder="1"/>
    <xf numFmtId="0" fontId="53" fillId="0" borderId="0" xfId="48" applyFont="1" applyBorder="1"/>
    <xf numFmtId="166" fontId="59" fillId="0" borderId="0" xfId="47" applyNumberFormat="1" applyFont="1" applyFill="1"/>
    <xf numFmtId="49" fontId="53" fillId="0" borderId="0" xfId="47" applyNumberFormat="1" applyFont="1" applyAlignment="1">
      <alignment horizontal="left" vertical="top"/>
    </xf>
    <xf numFmtId="49" fontId="70" fillId="0" borderId="0" xfId="47" applyNumberFormat="1" applyFont="1" applyAlignment="1">
      <alignment horizontal="right" vertical="top"/>
    </xf>
    <xf numFmtId="166" fontId="70" fillId="0" borderId="0" xfId="47" applyNumberFormat="1" applyFont="1"/>
    <xf numFmtId="0" fontId="70" fillId="0" borderId="0" xfId="46" applyFont="1" applyBorder="1"/>
    <xf numFmtId="0" fontId="70" fillId="0" borderId="0" xfId="48" applyFont="1" applyBorder="1"/>
    <xf numFmtId="49" fontId="58" fillId="0" borderId="0" xfId="46" applyNumberFormat="1" applyFont="1" applyAlignment="1">
      <alignment horizontal="left" vertical="top"/>
    </xf>
    <xf numFmtId="49" fontId="59" fillId="0" borderId="0" xfId="47" applyNumberFormat="1" applyFont="1" applyAlignment="1">
      <alignment horizontal="left" vertical="top"/>
    </xf>
    <xf numFmtId="49" fontId="53" fillId="0" borderId="0" xfId="48" applyNumberFormat="1" applyFont="1" applyAlignment="1">
      <alignment horizontal="left" vertical="top"/>
    </xf>
    <xf numFmtId="44" fontId="59" fillId="0" borderId="0" xfId="47" applyFont="1"/>
    <xf numFmtId="0" fontId="59" fillId="0" borderId="0" xfId="46" applyFont="1" applyFill="1"/>
    <xf numFmtId="44" fontId="59" fillId="0" borderId="0" xfId="47" applyFont="1" applyFill="1"/>
    <xf numFmtId="49" fontId="70" fillId="0" borderId="0" xfId="46" applyNumberFormat="1" applyFont="1" applyAlignment="1">
      <alignment horizontal="right" vertical="top"/>
    </xf>
    <xf numFmtId="0" fontId="70" fillId="0" borderId="0" xfId="48" applyFont="1" applyBorder="1" applyAlignment="1">
      <alignment horizontal="center"/>
    </xf>
    <xf numFmtId="0" fontId="70" fillId="0" borderId="0" xfId="48" applyFont="1"/>
    <xf numFmtId="166" fontId="70" fillId="0" borderId="0" xfId="47" applyNumberFormat="1" applyFont="1" applyBorder="1"/>
    <xf numFmtId="167" fontId="70" fillId="0" borderId="0" xfId="48" applyNumberFormat="1" applyFont="1" applyFill="1" applyAlignment="1">
      <alignment horizontal="center"/>
    </xf>
    <xf numFmtId="166" fontId="70" fillId="0" borderId="0" xfId="47" applyNumberFormat="1" applyFont="1" applyFill="1"/>
    <xf numFmtId="0" fontId="58" fillId="39" borderId="0" xfId="46" applyFont="1" applyFill="1"/>
    <xf numFmtId="166" fontId="58" fillId="39" borderId="0" xfId="46" applyNumberFormat="1" applyFont="1" applyFill="1"/>
    <xf numFmtId="0" fontId="58" fillId="39" borderId="0" xfId="46" applyFont="1" applyFill="1" applyBorder="1"/>
    <xf numFmtId="0" fontId="58" fillId="0" borderId="0" xfId="46" applyFont="1"/>
    <xf numFmtId="166" fontId="32" fillId="0" borderId="0" xfId="46" applyNumberFormat="1"/>
    <xf numFmtId="0" fontId="52" fillId="0" borderId="0" xfId="50" applyFont="1"/>
    <xf numFmtId="0" fontId="31" fillId="0" borderId="0" xfId="50" applyFont="1" applyAlignment="1">
      <alignment wrapText="1"/>
    </xf>
    <xf numFmtId="0" fontId="31" fillId="0" borderId="0" xfId="50" applyFont="1"/>
    <xf numFmtId="3" fontId="31" fillId="0" borderId="0" xfId="50" applyNumberFormat="1" applyFont="1"/>
    <xf numFmtId="0" fontId="31" fillId="35" borderId="0" xfId="50" applyFont="1" applyFill="1"/>
    <xf numFmtId="0" fontId="59" fillId="0" borderId="0" xfId="50" applyFont="1"/>
    <xf numFmtId="0" fontId="59" fillId="0" borderId="0" xfId="50" applyFont="1" applyAlignment="1">
      <alignment wrapText="1"/>
    </xf>
    <xf numFmtId="3" fontId="59" fillId="0" borderId="0" xfId="50" applyNumberFormat="1" applyFont="1"/>
    <xf numFmtId="0" fontId="59" fillId="35" borderId="0" xfId="50" applyFont="1" applyFill="1"/>
    <xf numFmtId="0" fontId="58" fillId="0" borderId="0" xfId="50" applyFont="1"/>
    <xf numFmtId="0" fontId="58" fillId="0" borderId="0" xfId="50" applyFont="1" applyAlignment="1">
      <alignment horizontal="center"/>
    </xf>
    <xf numFmtId="0" fontId="58" fillId="0" borderId="0" xfId="50" applyFont="1" applyAlignment="1"/>
    <xf numFmtId="3" fontId="58" fillId="0" borderId="0" xfId="50" applyNumberFormat="1" applyFont="1"/>
    <xf numFmtId="0" fontId="59" fillId="35" borderId="0" xfId="50" applyFont="1" applyFill="1" applyAlignment="1">
      <alignment wrapText="1"/>
    </xf>
    <xf numFmtId="3" fontId="59" fillId="35" borderId="0" xfId="50" applyNumberFormat="1" applyFont="1" applyFill="1"/>
    <xf numFmtId="0" fontId="58" fillId="0" borderId="0" xfId="50" applyFont="1" applyAlignment="1">
      <alignment wrapText="1"/>
    </xf>
    <xf numFmtId="3" fontId="58" fillId="0" borderId="0" xfId="50" applyNumberFormat="1" applyFont="1" applyAlignment="1">
      <alignment wrapText="1"/>
    </xf>
    <xf numFmtId="0" fontId="58" fillId="35" borderId="0" xfId="50" applyFont="1" applyFill="1"/>
    <xf numFmtId="0" fontId="48" fillId="0" borderId="0" xfId="50" applyFont="1"/>
    <xf numFmtId="0" fontId="68" fillId="0" borderId="0" xfId="50" applyFont="1" applyAlignment="1">
      <alignment vertical="center" wrapText="1"/>
    </xf>
    <xf numFmtId="0" fontId="31" fillId="0" borderId="36" xfId="50" applyFont="1" applyBorder="1"/>
    <xf numFmtId="3" fontId="59" fillId="0" borderId="0" xfId="50" applyNumberFormat="1" applyFont="1" applyAlignment="1">
      <alignment wrapText="1"/>
    </xf>
    <xf numFmtId="44" fontId="59" fillId="0" borderId="0" xfId="51" applyFont="1" applyAlignment="1">
      <alignment wrapText="1"/>
    </xf>
    <xf numFmtId="42" fontId="59" fillId="0" borderId="0" xfId="51" applyNumberFormat="1" applyFont="1" applyAlignment="1">
      <alignment wrapText="1"/>
    </xf>
    <xf numFmtId="0" fontId="59" fillId="0" borderId="36" xfId="50" applyFont="1" applyBorder="1" applyAlignment="1">
      <alignment wrapText="1"/>
    </xf>
    <xf numFmtId="42" fontId="59" fillId="0" borderId="0" xfId="51" applyNumberFormat="1" applyFont="1"/>
    <xf numFmtId="44" fontId="59" fillId="0" borderId="0" xfId="51" applyFont="1"/>
    <xf numFmtId="44" fontId="59" fillId="0" borderId="0" xfId="51" applyFont="1" applyFill="1"/>
    <xf numFmtId="44" fontId="58" fillId="0" borderId="0" xfId="51" applyFont="1" applyAlignment="1">
      <alignment horizontal="right"/>
    </xf>
    <xf numFmtId="42" fontId="58" fillId="0" borderId="0" xfId="51" applyNumberFormat="1" applyFont="1"/>
    <xf numFmtId="42" fontId="58" fillId="0" borderId="0" xfId="50" applyNumberFormat="1" applyFont="1"/>
    <xf numFmtId="3" fontId="59" fillId="0" borderId="0" xfId="51" applyNumberFormat="1" applyFont="1"/>
    <xf numFmtId="0" fontId="59" fillId="33" borderId="0" xfId="50" applyFont="1" applyFill="1"/>
    <xf numFmtId="44" fontId="59" fillId="33" borderId="0" xfId="51" applyFont="1" applyFill="1"/>
    <xf numFmtId="44" fontId="59" fillId="33" borderId="0" xfId="50" applyNumberFormat="1" applyFont="1" applyFill="1"/>
    <xf numFmtId="0" fontId="70" fillId="0" borderId="0" xfId="50" applyFont="1"/>
    <xf numFmtId="44" fontId="59" fillId="35" borderId="0" xfId="51" applyFont="1" applyFill="1"/>
    <xf numFmtId="3" fontId="59" fillId="35" borderId="0" xfId="51" applyNumberFormat="1" applyFont="1" applyFill="1"/>
    <xf numFmtId="0" fontId="59" fillId="0" borderId="0" xfId="50" quotePrefix="1" applyFont="1" applyAlignment="1">
      <alignment wrapText="1"/>
    </xf>
    <xf numFmtId="44" fontId="31" fillId="0" borderId="0" xfId="51" applyFont="1"/>
    <xf numFmtId="0" fontId="31" fillId="0" borderId="0" xfId="50" applyFont="1" applyFill="1"/>
    <xf numFmtId="0" fontId="79" fillId="0" borderId="0" xfId="0" applyFont="1" applyAlignment="1">
      <alignment vertical="center"/>
    </xf>
    <xf numFmtId="0" fontId="80" fillId="0" borderId="0" xfId="0" applyFont="1" applyAlignment="1">
      <alignment vertical="center"/>
    </xf>
    <xf numFmtId="0" fontId="0" fillId="0" borderId="0" xfId="0" applyAlignment="1">
      <alignment horizontal="left" vertical="center" indent="1"/>
    </xf>
    <xf numFmtId="0" fontId="81" fillId="0" borderId="0" xfId="52" applyAlignment="1">
      <alignment horizontal="left" vertical="center" indent="1"/>
    </xf>
    <xf numFmtId="0" fontId="0" fillId="33" borderId="0" xfId="0" applyFill="1" applyAlignment="1">
      <alignment horizontal="center"/>
    </xf>
    <xf numFmtId="10" fontId="0" fillId="0" borderId="0" xfId="0" applyNumberFormat="1"/>
    <xf numFmtId="10" fontId="82" fillId="0" borderId="0" xfId="0" applyNumberFormat="1" applyFont="1" applyAlignment="1">
      <alignment vertical="center"/>
    </xf>
    <xf numFmtId="3" fontId="0" fillId="33" borderId="0" xfId="0" applyNumberFormat="1" applyFill="1"/>
    <xf numFmtId="9" fontId="0" fillId="0" borderId="0" xfId="0" applyNumberFormat="1"/>
    <xf numFmtId="41" fontId="0" fillId="33" borderId="0" xfId="49" applyNumberFormat="1" applyFont="1" applyFill="1"/>
    <xf numFmtId="0" fontId="83" fillId="0" borderId="0" xfId="0" applyFont="1"/>
    <xf numFmtId="0" fontId="84" fillId="0" borderId="0" xfId="0" applyFont="1" applyAlignment="1">
      <alignment vertical="center"/>
    </xf>
    <xf numFmtId="3" fontId="0" fillId="33" borderId="0" xfId="0" applyNumberFormat="1" applyFill="1" applyAlignment="1"/>
    <xf numFmtId="0" fontId="0" fillId="0" borderId="0" xfId="0" applyFill="1" applyAlignment="1"/>
    <xf numFmtId="0" fontId="0" fillId="35" borderId="0" xfId="0" applyFill="1"/>
    <xf numFmtId="0" fontId="85" fillId="0" borderId="0" xfId="0" applyFont="1" applyAlignment="1">
      <alignment vertical="center"/>
    </xf>
    <xf numFmtId="0" fontId="0" fillId="0" borderId="0" xfId="0" quotePrefix="1"/>
    <xf numFmtId="0" fontId="86" fillId="0" borderId="0" xfId="0" applyFont="1" applyAlignment="1">
      <alignment vertical="center"/>
    </xf>
    <xf numFmtId="0" fontId="89" fillId="0" borderId="0" xfId="0" applyFont="1" applyAlignment="1">
      <alignment vertical="center"/>
    </xf>
    <xf numFmtId="0" fontId="87" fillId="0" borderId="0" xfId="0" applyFont="1" applyAlignment="1">
      <alignment vertical="center"/>
    </xf>
    <xf numFmtId="0" fontId="50" fillId="0" borderId="0" xfId="0" applyFont="1" applyAlignment="1">
      <alignment vertical="center"/>
    </xf>
    <xf numFmtId="0" fontId="90" fillId="0" borderId="0" xfId="0" applyFont="1"/>
    <xf numFmtId="168" fontId="0" fillId="0" borderId="0" xfId="0" applyNumberFormat="1"/>
    <xf numFmtId="3" fontId="59" fillId="0" borderId="0" xfId="51" applyNumberFormat="1" applyFont="1" applyAlignment="1">
      <alignment horizontal="right"/>
    </xf>
    <xf numFmtId="0" fontId="91" fillId="0" borderId="0" xfId="50" applyFont="1" applyAlignment="1">
      <alignment vertical="center"/>
    </xf>
    <xf numFmtId="0" fontId="66" fillId="0" borderId="0" xfId="50" applyFont="1"/>
    <xf numFmtId="49" fontId="91" fillId="0" borderId="0" xfId="50" applyNumberFormat="1" applyFont="1" applyAlignment="1">
      <alignment horizontal="left"/>
    </xf>
    <xf numFmtId="49" fontId="66" fillId="0" borderId="0" xfId="50" applyNumberFormat="1" applyFont="1" applyAlignment="1">
      <alignment horizontal="left"/>
    </xf>
    <xf numFmtId="0" fontId="0" fillId="0" borderId="0" xfId="0" applyAlignment="1">
      <alignment horizontal="center"/>
    </xf>
    <xf numFmtId="0" fontId="30" fillId="0" borderId="0" xfId="50" applyFont="1"/>
    <xf numFmtId="43" fontId="50" fillId="33" borderId="0" xfId="0" applyNumberFormat="1" applyFont="1" applyFill="1"/>
    <xf numFmtId="0" fontId="0" fillId="0" borderId="0" xfId="0" applyFill="1"/>
    <xf numFmtId="0" fontId="0" fillId="0" borderId="0" xfId="0" applyAlignment="1">
      <alignment horizontal="right"/>
    </xf>
    <xf numFmtId="0" fontId="94" fillId="41" borderId="37" xfId="54" applyNumberFormat="1" applyFont="1" applyFill="1" applyBorder="1" applyAlignment="1" applyProtection="1">
      <alignment horizontal="right"/>
      <protection locked="0"/>
    </xf>
    <xf numFmtId="0" fontId="94" fillId="41" borderId="39" xfId="54" applyNumberFormat="1" applyFont="1" applyFill="1" applyBorder="1" applyAlignment="1" applyProtection="1">
      <alignment horizontal="right"/>
      <protection locked="0"/>
    </xf>
    <xf numFmtId="0" fontId="94" fillId="0" borderId="43" xfId="53" applyFont="1" applyFill="1" applyBorder="1" applyAlignment="1" applyProtection="1">
      <alignment horizontal="center" vertical="center" wrapText="1"/>
      <protection locked="0"/>
    </xf>
    <xf numFmtId="0" fontId="94" fillId="41" borderId="43" xfId="53" applyFont="1" applyFill="1" applyBorder="1" applyAlignment="1" applyProtection="1">
      <alignment horizontal="center" vertical="center" wrapText="1"/>
      <protection locked="0"/>
    </xf>
    <xf numFmtId="0" fontId="63" fillId="41" borderId="43" xfId="53" applyFont="1" applyFill="1" applyBorder="1" applyAlignment="1" applyProtection="1">
      <alignment horizontal="center" vertical="center" wrapText="1"/>
      <protection locked="0"/>
    </xf>
    <xf numFmtId="0" fontId="94" fillId="0" borderId="17" xfId="53" applyFont="1" applyFill="1" applyBorder="1" applyAlignment="1" applyProtection="1">
      <alignment horizontal="center" vertical="center" wrapText="1"/>
      <protection locked="0"/>
    </xf>
    <xf numFmtId="0" fontId="94" fillId="41" borderId="17" xfId="53" applyFont="1" applyFill="1" applyBorder="1" applyAlignment="1" applyProtection="1">
      <alignment horizontal="center" vertical="center" wrapText="1"/>
      <protection locked="0"/>
    </xf>
    <xf numFmtId="0" fontId="63" fillId="0" borderId="43" xfId="53" applyFont="1" applyFill="1" applyBorder="1" applyAlignment="1" applyProtection="1">
      <alignment horizontal="center" vertical="center" wrapText="1"/>
      <protection locked="0"/>
    </xf>
    <xf numFmtId="0" fontId="63" fillId="0" borderId="0" xfId="53" applyFont="1" applyAlignment="1">
      <alignment vertical="top"/>
    </xf>
    <xf numFmtId="3" fontId="55" fillId="0" borderId="22" xfId="46" applyNumberFormat="1" applyFont="1" applyFill="1" applyBorder="1" applyAlignment="1">
      <alignment horizontal="right" vertical="center" wrapText="1"/>
    </xf>
    <xf numFmtId="3" fontId="55" fillId="40" borderId="21" xfId="46" applyNumberFormat="1" applyFont="1" applyFill="1" applyBorder="1" applyAlignment="1">
      <alignment horizontal="right" vertical="center" wrapText="1"/>
    </xf>
    <xf numFmtId="0" fontId="88" fillId="0" borderId="0" xfId="0" applyFont="1" applyAlignment="1">
      <alignment vertical="top"/>
    </xf>
    <xf numFmtId="0" fontId="81" fillId="0" borderId="0" xfId="52" applyAlignment="1">
      <alignment vertical="top"/>
    </xf>
    <xf numFmtId="0" fontId="29" fillId="0" borderId="0" xfId="50" applyFont="1"/>
    <xf numFmtId="0" fontId="94" fillId="41" borderId="0" xfId="53" applyFont="1" applyFill="1" applyAlignment="1">
      <alignment horizontal="center"/>
    </xf>
    <xf numFmtId="0" fontId="94" fillId="0" borderId="0" xfId="53" applyFont="1" applyAlignment="1">
      <alignment horizontal="center"/>
    </xf>
    <xf numFmtId="0" fontId="94" fillId="45" borderId="35" xfId="53" applyFont="1" applyFill="1" applyBorder="1" applyAlignment="1" applyProtection="1">
      <alignment horizontal="left" vertical="center" wrapText="1"/>
      <protection locked="0"/>
    </xf>
    <xf numFmtId="0" fontId="94" fillId="41" borderId="44" xfId="53" applyFont="1" applyFill="1" applyBorder="1" applyAlignment="1" applyProtection="1">
      <alignment horizontal="center" vertical="center" wrapText="1"/>
      <protection locked="0"/>
    </xf>
    <xf numFmtId="0" fontId="63" fillId="41" borderId="45" xfId="53" applyFont="1" applyFill="1" applyBorder="1" applyAlignment="1" applyProtection="1">
      <alignment horizontal="center" vertical="center" wrapText="1"/>
      <protection locked="0"/>
    </xf>
    <xf numFmtId="0" fontId="63" fillId="0" borderId="17" xfId="53" applyFont="1" applyFill="1" applyBorder="1" applyAlignment="1" applyProtection="1">
      <alignment horizontal="center" vertical="center" wrapText="1"/>
      <protection locked="0"/>
    </xf>
    <xf numFmtId="0" fontId="63" fillId="0" borderId="0" xfId="53" applyFont="1"/>
    <xf numFmtId="0" fontId="94" fillId="41" borderId="39" xfId="55" applyFont="1" applyFill="1" applyBorder="1" applyAlignment="1" applyProtection="1">
      <alignment horizontal="right"/>
      <protection locked="0"/>
    </xf>
    <xf numFmtId="0" fontId="96" fillId="46" borderId="17" xfId="53" applyFont="1" applyFill="1" applyBorder="1" applyAlignment="1" applyProtection="1">
      <alignment horizontal="center" vertical="center" wrapText="1"/>
      <protection locked="0"/>
    </xf>
    <xf numFmtId="0" fontId="63" fillId="0" borderId="0" xfId="53" applyFont="1" applyAlignment="1">
      <alignment horizontal="center" vertical="center" wrapText="1"/>
    </xf>
    <xf numFmtId="0" fontId="94" fillId="39" borderId="47" xfId="53" applyFont="1" applyFill="1" applyBorder="1" applyAlignment="1">
      <alignment horizontal="center" vertical="center" wrapText="1"/>
    </xf>
    <xf numFmtId="0" fontId="94" fillId="39" borderId="41" xfId="53" applyFont="1" applyFill="1" applyBorder="1" applyAlignment="1">
      <alignment horizontal="center" vertical="center" wrapText="1"/>
    </xf>
    <xf numFmtId="0" fontId="94" fillId="34" borderId="48" xfId="53" applyFont="1" applyFill="1" applyBorder="1" applyAlignment="1" applyProtection="1">
      <alignment horizontal="left" vertical="center" wrapText="1"/>
      <protection locked="0"/>
    </xf>
    <xf numFmtId="0" fontId="63" fillId="41" borderId="43" xfId="53" applyFont="1" applyFill="1" applyBorder="1" applyAlignment="1" applyProtection="1">
      <alignment vertical="center" wrapText="1"/>
      <protection locked="0"/>
    </xf>
    <xf numFmtId="0" fontId="94" fillId="42" borderId="48" xfId="53" applyFont="1" applyFill="1" applyBorder="1" applyAlignment="1" applyProtection="1">
      <alignment horizontal="left" vertical="center" wrapText="1"/>
      <protection locked="0"/>
    </xf>
    <xf numFmtId="0" fontId="94" fillId="43" borderId="48" xfId="53" applyFont="1" applyFill="1" applyBorder="1" applyAlignment="1" applyProtection="1">
      <alignment horizontal="left" vertical="center" wrapText="1"/>
      <protection locked="0"/>
    </xf>
    <xf numFmtId="0" fontId="94" fillId="44" borderId="48" xfId="53" applyFont="1" applyFill="1" applyBorder="1" applyAlignment="1" applyProtection="1">
      <alignment horizontal="left" vertical="center" wrapText="1"/>
      <protection locked="0"/>
    </xf>
    <xf numFmtId="0" fontId="94" fillId="35" borderId="48" xfId="53" applyFont="1" applyFill="1" applyBorder="1" applyAlignment="1" applyProtection="1">
      <alignment horizontal="left" vertical="center" wrapText="1"/>
      <protection locked="0"/>
    </xf>
    <xf numFmtId="0" fontId="94" fillId="45" borderId="16" xfId="53" applyFont="1" applyFill="1" applyBorder="1" applyAlignment="1" applyProtection="1">
      <alignment horizontal="left" vertical="center" wrapText="1"/>
      <protection locked="0"/>
    </xf>
    <xf numFmtId="0" fontId="63" fillId="0" borderId="17" xfId="53" applyFont="1" applyBorder="1" applyAlignment="1">
      <alignment wrapText="1"/>
    </xf>
    <xf numFmtId="0" fontId="94" fillId="42" borderId="16" xfId="53" applyFont="1" applyFill="1" applyBorder="1" applyAlignment="1" applyProtection="1">
      <alignment horizontal="left" vertical="center" wrapText="1"/>
      <protection locked="0"/>
    </xf>
    <xf numFmtId="0" fontId="63" fillId="41" borderId="17" xfId="53" applyFont="1" applyFill="1" applyBorder="1" applyAlignment="1" applyProtection="1">
      <alignment vertical="center" wrapText="1"/>
      <protection locked="0"/>
    </xf>
    <xf numFmtId="0" fontId="94" fillId="42" borderId="16" xfId="53" applyFont="1" applyFill="1" applyBorder="1"/>
    <xf numFmtId="0" fontId="63" fillId="0" borderId="17" xfId="53" applyFont="1" applyBorder="1" applyAlignment="1">
      <alignment horizontal="center"/>
    </xf>
    <xf numFmtId="0" fontId="63" fillId="0" borderId="17" xfId="53" applyFont="1" applyBorder="1"/>
    <xf numFmtId="0" fontId="94" fillId="34" borderId="16" xfId="53" applyFont="1" applyFill="1" applyBorder="1" applyAlignment="1" applyProtection="1">
      <alignment horizontal="left" vertical="center" wrapText="1"/>
      <protection locked="0"/>
    </xf>
    <xf numFmtId="0" fontId="94" fillId="34" borderId="49" xfId="53" applyFont="1" applyFill="1" applyBorder="1" applyAlignment="1" applyProtection="1">
      <alignment horizontal="left" vertical="center" wrapText="1"/>
      <protection locked="0"/>
    </xf>
    <xf numFmtId="0" fontId="63" fillId="41" borderId="44" xfId="53" applyFont="1" applyFill="1" applyBorder="1" applyAlignment="1" applyProtection="1">
      <alignment vertical="center" wrapText="1"/>
      <protection locked="0"/>
    </xf>
    <xf numFmtId="0" fontId="63" fillId="0" borderId="0" xfId="53" applyFont="1" applyBorder="1"/>
    <xf numFmtId="0" fontId="63" fillId="0" borderId="0" xfId="53" applyFont="1" applyAlignment="1">
      <alignment horizontal="center"/>
    </xf>
    <xf numFmtId="0" fontId="63" fillId="0" borderId="0" xfId="53" applyFont="1" applyAlignment="1"/>
    <xf numFmtId="0" fontId="63" fillId="0" borderId="0" xfId="53" applyFont="1" applyAlignment="1">
      <alignment wrapText="1"/>
    </xf>
    <xf numFmtId="0" fontId="63" fillId="0" borderId="0" xfId="53" applyFont="1" applyAlignment="1">
      <alignment horizontal="left" vertical="top" indent="1"/>
    </xf>
    <xf numFmtId="0" fontId="63" fillId="0" borderId="0" xfId="53" applyFont="1" applyProtection="1"/>
    <xf numFmtId="0" fontId="95" fillId="47" borderId="43" xfId="53" applyFont="1" applyFill="1" applyBorder="1" applyAlignment="1" applyProtection="1">
      <alignment horizontal="center" vertical="center" wrapText="1"/>
      <protection locked="0"/>
    </xf>
    <xf numFmtId="0" fontId="94" fillId="34" borderId="16" xfId="53" applyFont="1" applyFill="1" applyBorder="1" applyAlignment="1">
      <alignment wrapText="1"/>
    </xf>
    <xf numFmtId="0" fontId="94" fillId="35" borderId="17" xfId="53" applyFont="1" applyFill="1" applyBorder="1" applyAlignment="1">
      <alignment vertical="center" wrapText="1"/>
    </xf>
    <xf numFmtId="0" fontId="63" fillId="0" borderId="17" xfId="0" applyFont="1" applyBorder="1" applyAlignment="1">
      <alignment vertical="center" wrapText="1"/>
    </xf>
    <xf numFmtId="0" fontId="94" fillId="44" borderId="43" xfId="53" applyFont="1" applyFill="1" applyBorder="1" applyAlignment="1" applyProtection="1">
      <alignment horizontal="center" vertical="center" wrapText="1"/>
      <protection locked="0"/>
    </xf>
    <xf numFmtId="0" fontId="94" fillId="33" borderId="17" xfId="53" applyFont="1" applyFill="1" applyBorder="1" applyAlignment="1">
      <alignment vertical="center" wrapText="1"/>
    </xf>
    <xf numFmtId="0" fontId="63" fillId="33" borderId="17" xfId="53" applyFont="1" applyFill="1" applyBorder="1" applyAlignment="1">
      <alignment wrapText="1"/>
    </xf>
    <xf numFmtId="0" fontId="94" fillId="35" borderId="17" xfId="53" applyFont="1" applyFill="1" applyBorder="1" applyAlignment="1" applyProtection="1">
      <alignment horizontal="left" vertical="center" wrapText="1"/>
      <protection locked="0"/>
    </xf>
    <xf numFmtId="0" fontId="94" fillId="33" borderId="17" xfId="53" applyFont="1" applyFill="1" applyBorder="1" applyAlignment="1">
      <alignment horizontal="left" vertical="center" wrapText="1"/>
    </xf>
    <xf numFmtId="0" fontId="63" fillId="41" borderId="17" xfId="0" applyFont="1" applyFill="1" applyBorder="1" applyAlignment="1">
      <alignment vertical="center" wrapText="1"/>
    </xf>
    <xf numFmtId="0" fontId="67" fillId="0" borderId="0" xfId="0" applyFont="1"/>
    <xf numFmtId="0" fontId="63" fillId="33" borderId="17" xfId="0" applyFont="1" applyFill="1" applyBorder="1" applyAlignment="1">
      <alignment wrapText="1"/>
    </xf>
    <xf numFmtId="0" fontId="94" fillId="33" borderId="17" xfId="0" applyFont="1" applyFill="1" applyBorder="1" applyAlignment="1">
      <alignment vertical="center" wrapText="1"/>
    </xf>
    <xf numFmtId="0" fontId="94" fillId="39" borderId="17" xfId="53" applyFont="1" applyFill="1" applyBorder="1" applyAlignment="1">
      <alignment horizontal="center" vertical="center" wrapText="1"/>
    </xf>
    <xf numFmtId="0" fontId="94" fillId="33" borderId="17" xfId="53" applyFont="1" applyFill="1" applyBorder="1" applyAlignment="1" applyProtection="1">
      <alignment horizontal="left" vertical="center" wrapText="1"/>
      <protection locked="0"/>
    </xf>
    <xf numFmtId="0" fontId="63" fillId="33" borderId="17" xfId="53" applyFont="1" applyFill="1" applyBorder="1" applyAlignment="1" applyProtection="1">
      <alignment vertical="center" wrapText="1"/>
      <protection locked="0"/>
    </xf>
    <xf numFmtId="0" fontId="94" fillId="42" borderId="17" xfId="53" applyFont="1" applyFill="1" applyBorder="1" applyAlignment="1" applyProtection="1">
      <alignment horizontal="left" vertical="center" wrapText="1"/>
      <protection locked="0"/>
    </xf>
    <xf numFmtId="0" fontId="94" fillId="43" borderId="17" xfId="53" applyFont="1" applyFill="1" applyBorder="1" applyAlignment="1" applyProtection="1">
      <alignment horizontal="left" vertical="center" wrapText="1"/>
      <protection locked="0"/>
    </xf>
    <xf numFmtId="0" fontId="94" fillId="34" borderId="17" xfId="53" applyFont="1" applyFill="1" applyBorder="1" applyAlignment="1" applyProtection="1">
      <alignment horizontal="left" vertical="center" wrapText="1"/>
      <protection locked="0"/>
    </xf>
    <xf numFmtId="0" fontId="94" fillId="44" borderId="17" xfId="53" applyFont="1" applyFill="1" applyBorder="1" applyAlignment="1" applyProtection="1">
      <alignment horizontal="center" vertical="center" wrapText="1"/>
      <protection locked="0"/>
    </xf>
    <xf numFmtId="0" fontId="94" fillId="44" borderId="17" xfId="53" applyFont="1" applyFill="1" applyBorder="1" applyAlignment="1" applyProtection="1">
      <alignment horizontal="left" vertical="center" wrapText="1"/>
      <protection locked="0"/>
    </xf>
    <xf numFmtId="0" fontId="94" fillId="34" borderId="17" xfId="53" applyFont="1" applyFill="1" applyBorder="1" applyAlignment="1">
      <alignment wrapText="1"/>
    </xf>
    <xf numFmtId="0" fontId="94" fillId="45" borderId="17" xfId="53" applyFont="1" applyFill="1" applyBorder="1" applyAlignment="1" applyProtection="1">
      <alignment horizontal="left" vertical="center" wrapText="1"/>
      <protection locked="0"/>
    </xf>
    <xf numFmtId="0" fontId="94" fillId="42" borderId="17" xfId="53" applyFont="1" applyFill="1" applyBorder="1" applyAlignment="1">
      <alignment wrapText="1"/>
    </xf>
    <xf numFmtId="0" fontId="48" fillId="0" borderId="0" xfId="56" applyFont="1"/>
    <xf numFmtId="0" fontId="48" fillId="0" borderId="45" xfId="56" applyFont="1" applyBorder="1"/>
    <xf numFmtId="0" fontId="97" fillId="0" borderId="0" xfId="56" applyFont="1"/>
    <xf numFmtId="0" fontId="48" fillId="48" borderId="51" xfId="56" applyFont="1" applyFill="1" applyBorder="1" applyAlignment="1">
      <alignment wrapText="1"/>
    </xf>
    <xf numFmtId="0" fontId="48" fillId="0" borderId="0" xfId="56" applyFont="1" applyBorder="1"/>
    <xf numFmtId="0" fontId="48" fillId="34" borderId="51" xfId="56" applyFont="1" applyFill="1" applyBorder="1" applyAlignment="1">
      <alignment vertical="center"/>
    </xf>
    <xf numFmtId="0" fontId="48" fillId="35" borderId="51" xfId="56" applyFont="1" applyFill="1" applyBorder="1" applyAlignment="1">
      <alignment vertical="center"/>
    </xf>
    <xf numFmtId="0" fontId="48" fillId="0" borderId="50" xfId="56" applyFont="1" applyBorder="1" applyAlignment="1">
      <alignment vertical="center"/>
    </xf>
    <xf numFmtId="0" fontId="91" fillId="0" borderId="55" xfId="56" applyFont="1" applyBorder="1" applyAlignment="1">
      <alignment vertical="center" wrapText="1"/>
    </xf>
    <xf numFmtId="0" fontId="48" fillId="0" borderId="0" xfId="56" applyFont="1" applyAlignment="1">
      <alignment vertical="center"/>
    </xf>
    <xf numFmtId="0" fontId="48" fillId="44" borderId="51" xfId="56" applyFont="1" applyFill="1" applyBorder="1" applyAlignment="1">
      <alignment vertical="center"/>
    </xf>
    <xf numFmtId="0" fontId="91" fillId="44" borderId="56" xfId="56" applyFont="1" applyFill="1" applyBorder="1" applyAlignment="1">
      <alignment wrapText="1"/>
    </xf>
    <xf numFmtId="0" fontId="48" fillId="37" borderId="51" xfId="56" applyFont="1" applyFill="1" applyBorder="1" applyAlignment="1">
      <alignment vertical="center"/>
    </xf>
    <xf numFmtId="0" fontId="48" fillId="0" borderId="50" xfId="56" applyFont="1" applyBorder="1"/>
    <xf numFmtId="0" fontId="48" fillId="0" borderId="55" xfId="56" applyFont="1" applyBorder="1"/>
    <xf numFmtId="0" fontId="91" fillId="37" borderId="54" xfId="56" applyFont="1" applyFill="1" applyBorder="1" applyAlignment="1">
      <alignment vertical="center"/>
    </xf>
    <xf numFmtId="0" fontId="98" fillId="45" borderId="41" xfId="56" applyFont="1" applyFill="1" applyBorder="1" applyAlignment="1">
      <alignment wrapText="1"/>
    </xf>
    <xf numFmtId="0" fontId="98" fillId="45" borderId="41" xfId="56" applyFont="1" applyFill="1" applyBorder="1"/>
    <xf numFmtId="0" fontId="48" fillId="43" borderId="41" xfId="56" applyFont="1" applyFill="1" applyBorder="1" applyAlignment="1">
      <alignment wrapText="1"/>
    </xf>
    <xf numFmtId="0" fontId="48" fillId="43" borderId="41" xfId="56" applyFont="1" applyFill="1" applyBorder="1"/>
    <xf numFmtId="0" fontId="94" fillId="42" borderId="17" xfId="53" applyFont="1" applyFill="1" applyBorder="1" applyAlignment="1" applyProtection="1">
      <alignment horizontal="center" vertical="center" wrapText="1"/>
      <protection locked="0"/>
    </xf>
    <xf numFmtId="0" fontId="94" fillId="33" borderId="17" xfId="53" applyFont="1" applyFill="1" applyBorder="1" applyAlignment="1">
      <alignment horizontal="center" vertical="center" wrapText="1"/>
    </xf>
    <xf numFmtId="0" fontId="94" fillId="45" borderId="17" xfId="53" applyFont="1" applyFill="1" applyBorder="1" applyAlignment="1" applyProtection="1">
      <alignment horizontal="center" vertical="center" wrapText="1"/>
      <protection locked="0"/>
    </xf>
    <xf numFmtId="0" fontId="94" fillId="34" borderId="17" xfId="53" applyFont="1" applyFill="1" applyBorder="1" applyAlignment="1" applyProtection="1">
      <alignment horizontal="center" vertical="center" wrapText="1"/>
      <protection locked="0"/>
    </xf>
    <xf numFmtId="0" fontId="94" fillId="43" borderId="17" xfId="53" applyFont="1" applyFill="1" applyBorder="1" applyAlignment="1" applyProtection="1">
      <alignment horizontal="center" vertical="center" wrapText="1"/>
      <protection locked="0"/>
    </xf>
    <xf numFmtId="0" fontId="94" fillId="44" borderId="17" xfId="53" applyFont="1" applyFill="1" applyBorder="1" applyAlignment="1" applyProtection="1">
      <alignment horizontal="center" vertical="center" wrapText="1"/>
      <protection locked="0"/>
    </xf>
    <xf numFmtId="0" fontId="94" fillId="35" borderId="17" xfId="53" applyFont="1" applyFill="1" applyBorder="1" applyAlignment="1" applyProtection="1">
      <alignment horizontal="center" vertical="center" wrapText="1"/>
      <protection locked="0"/>
    </xf>
    <xf numFmtId="0" fontId="94" fillId="35" borderId="17" xfId="53" applyFont="1" applyFill="1" applyBorder="1" applyAlignment="1">
      <alignment horizontal="center" vertical="center" wrapText="1"/>
    </xf>
    <xf numFmtId="0" fontId="63" fillId="33" borderId="17" xfId="0" applyFont="1" applyFill="1" applyBorder="1" applyAlignment="1">
      <alignment horizontal="center"/>
    </xf>
    <xf numFmtId="0" fontId="94" fillId="33" borderId="17" xfId="53" applyFont="1" applyFill="1" applyBorder="1" applyAlignment="1" applyProtection="1">
      <alignment horizontal="center" vertical="center" wrapText="1"/>
      <protection locked="0"/>
    </xf>
    <xf numFmtId="0" fontId="67" fillId="0" borderId="0" xfId="0" applyFont="1" applyAlignment="1">
      <alignment horizontal="center"/>
    </xf>
    <xf numFmtId="0" fontId="100" fillId="33" borderId="17" xfId="0" applyFont="1" applyFill="1" applyBorder="1" applyAlignment="1">
      <alignment vertical="center" wrapText="1"/>
    </xf>
    <xf numFmtId="0" fontId="48" fillId="39" borderId="0" xfId="57" applyFont="1" applyFill="1" applyAlignment="1">
      <alignment horizontal="center" vertical="center"/>
    </xf>
    <xf numFmtId="0" fontId="48" fillId="39" borderId="0" xfId="57" applyFont="1" applyFill="1" applyAlignment="1">
      <alignment horizontal="left" vertical="center"/>
    </xf>
    <xf numFmtId="0" fontId="55" fillId="0" borderId="0" xfId="57" applyFont="1"/>
    <xf numFmtId="0" fontId="48" fillId="0" borderId="0" xfId="57" applyFont="1"/>
    <xf numFmtId="16" fontId="48" fillId="39" borderId="0" xfId="57" applyNumberFormat="1" applyFont="1" applyFill="1" applyAlignment="1">
      <alignment horizontal="center" vertical="center"/>
    </xf>
    <xf numFmtId="0" fontId="26" fillId="0" borderId="0" xfId="59"/>
    <xf numFmtId="0" fontId="26" fillId="0" borderId="0" xfId="59" applyBorder="1" applyAlignment="1">
      <alignment horizontal="left" vertical="center" wrapText="1" indent="1"/>
    </xf>
    <xf numFmtId="0" fontId="26" fillId="39" borderId="0" xfId="59" applyFill="1"/>
    <xf numFmtId="0" fontId="48" fillId="0" borderId="0" xfId="59" applyFont="1"/>
    <xf numFmtId="0" fontId="58" fillId="0" borderId="0" xfId="59" applyFont="1"/>
    <xf numFmtId="0" fontId="60" fillId="0" borderId="0" xfId="59" applyFont="1"/>
    <xf numFmtId="0" fontId="26" fillId="0" borderId="0" xfId="59" applyBorder="1" applyAlignment="1">
      <alignment vertical="center" wrapText="1"/>
    </xf>
    <xf numFmtId="0" fontId="26" fillId="0" borderId="0" xfId="59" applyAlignment="1">
      <alignment wrapText="1"/>
    </xf>
    <xf numFmtId="0" fontId="26" fillId="0" borderId="0" xfId="59" applyAlignment="1">
      <alignment horizontal="left" vertical="top" indent="3"/>
    </xf>
    <xf numFmtId="0" fontId="26" fillId="0" borderId="0" xfId="59" applyFont="1" applyAlignment="1">
      <alignment horizontal="left" vertical="center" indent="3"/>
    </xf>
    <xf numFmtId="0" fontId="26" fillId="0" borderId="0" xfId="59" applyAlignment="1">
      <alignment vertical="center"/>
    </xf>
    <xf numFmtId="0" fontId="48" fillId="0" borderId="0" xfId="59" applyFont="1" applyAlignment="1">
      <alignment vertical="center"/>
    </xf>
    <xf numFmtId="0" fontId="48" fillId="39" borderId="0" xfId="59" applyFont="1" applyFill="1"/>
    <xf numFmtId="0" fontId="26" fillId="39" borderId="0" xfId="59" applyFill="1" applyBorder="1" applyAlignment="1">
      <alignment horizontal="left" vertical="center" wrapText="1" indent="1"/>
    </xf>
    <xf numFmtId="0" fontId="26" fillId="0" borderId="0" xfId="59" applyBorder="1" applyAlignment="1">
      <alignment vertical="top" wrapText="1"/>
    </xf>
    <xf numFmtId="0" fontId="26" fillId="0" borderId="0" xfId="59" applyBorder="1" applyAlignment="1">
      <alignment horizontal="left" vertical="center" wrapText="1"/>
    </xf>
    <xf numFmtId="0" fontId="48" fillId="0" borderId="0" xfId="59" applyFont="1" applyFill="1" applyBorder="1" applyAlignment="1">
      <alignment vertical="center" wrapText="1"/>
    </xf>
    <xf numFmtId="0" fontId="48" fillId="39" borderId="0" xfId="59" applyFont="1" applyFill="1" applyBorder="1" applyAlignment="1">
      <alignment horizontal="left" vertical="center" wrapText="1" indent="1"/>
    </xf>
    <xf numFmtId="0" fontId="48" fillId="0" borderId="0" xfId="59" applyFont="1" applyFill="1" applyBorder="1" applyAlignment="1">
      <alignment vertical="top" wrapText="1"/>
    </xf>
    <xf numFmtId="0" fontId="26" fillId="0" borderId="0" xfId="59" applyAlignment="1">
      <alignment vertical="top"/>
    </xf>
    <xf numFmtId="0" fontId="26" fillId="39" borderId="0" xfId="59" applyFill="1" applyAlignment="1">
      <alignment wrapText="1"/>
    </xf>
    <xf numFmtId="0" fontId="26" fillId="0" borderId="0" xfId="59" applyFill="1" applyAlignment="1">
      <alignment vertical="top" wrapText="1"/>
    </xf>
    <xf numFmtId="0" fontId="48" fillId="0" borderId="0" xfId="59" applyFont="1" applyAlignment="1">
      <alignment vertical="top"/>
    </xf>
    <xf numFmtId="0" fontId="60" fillId="39" borderId="0" xfId="59" applyFont="1" applyFill="1"/>
    <xf numFmtId="0" fontId="70" fillId="0" borderId="0" xfId="59" applyFont="1"/>
    <xf numFmtId="0" fontId="48" fillId="0" borderId="10" xfId="59" applyFont="1" applyBorder="1" applyAlignment="1">
      <alignment horizontal="center"/>
    </xf>
    <xf numFmtId="17" fontId="26" fillId="0" borderId="0" xfId="59" applyNumberFormat="1"/>
    <xf numFmtId="16" fontId="26" fillId="0" borderId="0" xfId="59" applyNumberFormat="1"/>
    <xf numFmtId="0" fontId="63" fillId="0" borderId="0" xfId="53" applyFont="1" applyFill="1" applyAlignment="1">
      <alignment wrapText="1"/>
    </xf>
    <xf numFmtId="0" fontId="94" fillId="0" borderId="17" xfId="53" applyFont="1" applyFill="1" applyBorder="1" applyAlignment="1">
      <alignment horizontal="center" vertical="center" wrapText="1"/>
    </xf>
    <xf numFmtId="0" fontId="63" fillId="34" borderId="17" xfId="53" applyFont="1" applyFill="1" applyBorder="1" applyAlignment="1">
      <alignment horizontal="left" vertical="center" wrapText="1"/>
    </xf>
    <xf numFmtId="0" fontId="94" fillId="42" borderId="17" xfId="53" applyFont="1" applyFill="1" applyBorder="1" applyAlignment="1">
      <alignment horizontal="center" wrapText="1"/>
    </xf>
    <xf numFmtId="0" fontId="94" fillId="34" borderId="17" xfId="53" applyFont="1" applyFill="1" applyBorder="1" applyAlignment="1">
      <alignment horizontal="center" wrapText="1"/>
    </xf>
    <xf numFmtId="0" fontId="63" fillId="0" borderId="0" xfId="53" applyFont="1" applyAlignment="1">
      <alignment vertical="top" wrapText="1"/>
    </xf>
    <xf numFmtId="0" fontId="111" fillId="0" borderId="17" xfId="0" applyFont="1" applyBorder="1"/>
    <xf numFmtId="0" fontId="0" fillId="0" borderId="17" xfId="0" applyBorder="1"/>
    <xf numFmtId="0" fontId="112" fillId="0" borderId="17" xfId="0" applyFont="1" applyBorder="1" applyAlignment="1">
      <alignment vertical="center" readingOrder="1"/>
    </xf>
    <xf numFmtId="0" fontId="55" fillId="0" borderId="17" xfId="0" applyFont="1" applyBorder="1" applyAlignment="1">
      <alignment horizontal="left" vertical="center" readingOrder="1"/>
    </xf>
    <xf numFmtId="0" fontId="55" fillId="0" borderId="17" xfId="0" applyFont="1" applyBorder="1"/>
    <xf numFmtId="8" fontId="0" fillId="0" borderId="17" xfId="0" applyNumberFormat="1" applyBorder="1"/>
    <xf numFmtId="0" fontId="105" fillId="0" borderId="0" xfId="61" applyFont="1" applyBorder="1" applyAlignment="1">
      <alignment vertical="center"/>
    </xf>
    <xf numFmtId="0" fontId="94" fillId="0" borderId="0" xfId="53" applyFont="1" applyAlignment="1">
      <alignment wrapText="1"/>
    </xf>
    <xf numFmtId="0" fontId="55" fillId="0" borderId="17" xfId="0" applyFont="1" applyFill="1" applyBorder="1" applyAlignment="1">
      <alignment horizontal="left" vertical="center" readingOrder="1"/>
    </xf>
    <xf numFmtId="0" fontId="114" fillId="0" borderId="0" xfId="61" applyFont="1" applyBorder="1" applyAlignment="1">
      <alignment horizontal="left" vertical="top"/>
    </xf>
    <xf numFmtId="0" fontId="104" fillId="0" borderId="44" xfId="53" applyFont="1" applyBorder="1" applyAlignment="1">
      <alignment horizontal="center" wrapText="1"/>
    </xf>
    <xf numFmtId="0" fontId="63" fillId="35" borderId="14" xfId="53" applyFont="1" applyFill="1" applyBorder="1" applyAlignment="1" applyProtection="1">
      <alignment horizontal="left" vertical="center" wrapText="1"/>
      <protection locked="0"/>
    </xf>
    <xf numFmtId="0" fontId="63" fillId="34" borderId="14" xfId="53" applyFont="1" applyFill="1" applyBorder="1" applyAlignment="1" applyProtection="1">
      <alignment horizontal="left" vertical="center" wrapText="1"/>
      <protection locked="0"/>
    </xf>
    <xf numFmtId="0" fontId="63" fillId="43" borderId="14" xfId="53" applyFont="1" applyFill="1" applyBorder="1" applyAlignment="1" applyProtection="1">
      <alignment horizontal="left" vertical="center" wrapText="1"/>
      <protection locked="0"/>
    </xf>
    <xf numFmtId="0" fontId="63" fillId="44" borderId="14" xfId="53" applyFont="1" applyFill="1" applyBorder="1" applyAlignment="1" applyProtection="1">
      <alignment horizontal="left" vertical="center" wrapText="1"/>
      <protection locked="0"/>
    </xf>
    <xf numFmtId="0" fontId="63" fillId="42" borderId="14" xfId="53" applyFont="1" applyFill="1" applyBorder="1" applyAlignment="1" applyProtection="1">
      <alignment horizontal="left" vertical="center" wrapText="1"/>
      <protection locked="0"/>
    </xf>
    <xf numFmtId="0" fontId="63" fillId="42" borderId="14" xfId="53" applyFont="1" applyFill="1" applyBorder="1" applyAlignment="1">
      <alignment wrapText="1"/>
    </xf>
    <xf numFmtId="0" fontId="63" fillId="34" borderId="14" xfId="53" applyFont="1" applyFill="1" applyBorder="1" applyAlignment="1">
      <alignment wrapText="1"/>
    </xf>
    <xf numFmtId="0" fontId="94" fillId="34" borderId="16" xfId="53" applyFont="1" applyFill="1" applyBorder="1" applyAlignment="1" applyProtection="1">
      <alignment horizontal="center" vertical="center" wrapText="1"/>
      <protection locked="0"/>
    </xf>
    <xf numFmtId="0" fontId="94" fillId="42" borderId="16" xfId="53" applyFont="1" applyFill="1" applyBorder="1" applyAlignment="1" applyProtection="1">
      <alignment horizontal="center" vertical="center" wrapText="1"/>
      <protection locked="0"/>
    </xf>
    <xf numFmtId="0" fontId="94" fillId="43" borderId="16" xfId="53" applyFont="1" applyFill="1" applyBorder="1" applyAlignment="1" applyProtection="1">
      <alignment horizontal="center" vertical="center" wrapText="1"/>
      <protection locked="0"/>
    </xf>
    <xf numFmtId="0" fontId="94" fillId="44" borderId="16" xfId="53" applyFont="1" applyFill="1" applyBorder="1" applyAlignment="1" applyProtection="1">
      <alignment horizontal="center" vertical="center" wrapText="1"/>
      <protection locked="0"/>
    </xf>
    <xf numFmtId="0" fontId="94" fillId="35" borderId="16" xfId="53" applyFont="1" applyFill="1" applyBorder="1" applyAlignment="1" applyProtection="1">
      <alignment horizontal="center" vertical="center" wrapText="1"/>
      <protection locked="0"/>
    </xf>
    <xf numFmtId="0" fontId="94" fillId="45" borderId="16" xfId="53" applyFont="1" applyFill="1" applyBorder="1" applyAlignment="1" applyProtection="1">
      <alignment horizontal="center" vertical="center" wrapText="1"/>
      <protection locked="0"/>
    </xf>
    <xf numFmtId="0" fontId="94" fillId="42" borderId="16" xfId="53" applyFont="1" applyFill="1" applyBorder="1" applyAlignment="1">
      <alignment horizontal="center" wrapText="1"/>
    </xf>
    <xf numFmtId="0" fontId="94" fillId="34" borderId="16" xfId="53" applyFont="1" applyFill="1" applyBorder="1" applyAlignment="1">
      <alignment horizontal="center" wrapText="1"/>
    </xf>
    <xf numFmtId="0" fontId="94" fillId="34" borderId="69" xfId="53" applyFont="1" applyFill="1" applyBorder="1" applyAlignment="1" applyProtection="1">
      <alignment horizontal="center" vertical="center" wrapText="1"/>
      <protection locked="0"/>
    </xf>
    <xf numFmtId="0" fontId="94" fillId="34" borderId="70" xfId="53" applyFont="1" applyFill="1" applyBorder="1" applyAlignment="1" applyProtection="1">
      <alignment horizontal="center" vertical="center" wrapText="1"/>
      <protection locked="0"/>
    </xf>
    <xf numFmtId="0" fontId="94" fillId="42" borderId="69" xfId="53" applyFont="1" applyFill="1" applyBorder="1" applyAlignment="1" applyProtection="1">
      <alignment horizontal="center" vertical="center" wrapText="1"/>
      <protection locked="0"/>
    </xf>
    <xf numFmtId="0" fontId="94" fillId="42" borderId="70" xfId="53" applyFont="1" applyFill="1" applyBorder="1" applyAlignment="1" applyProtection="1">
      <alignment horizontal="center" vertical="center" wrapText="1"/>
      <protection locked="0"/>
    </xf>
    <xf numFmtId="0" fontId="94" fillId="43" borderId="70" xfId="53" applyFont="1" applyFill="1" applyBorder="1" applyAlignment="1" applyProtection="1">
      <alignment horizontal="center" vertical="center" wrapText="1"/>
      <protection locked="0"/>
    </xf>
    <xf numFmtId="0" fontId="94" fillId="44" borderId="69" xfId="53" applyFont="1" applyFill="1" applyBorder="1" applyAlignment="1" applyProtection="1">
      <alignment horizontal="center" vertical="center" wrapText="1"/>
      <protection locked="0"/>
    </xf>
    <xf numFmtId="0" fontId="94" fillId="44" borderId="70" xfId="53" applyFont="1" applyFill="1" applyBorder="1" applyAlignment="1" applyProtection="1">
      <alignment horizontal="center" vertical="center" wrapText="1"/>
      <protection locked="0"/>
    </xf>
    <xf numFmtId="0" fontId="94" fillId="35" borderId="69" xfId="53" applyFont="1" applyFill="1" applyBorder="1" applyAlignment="1" applyProtection="1">
      <alignment horizontal="center" vertical="center" wrapText="1"/>
      <protection locked="0"/>
    </xf>
    <xf numFmtId="0" fontId="94" fillId="35" borderId="70" xfId="53" applyFont="1" applyFill="1" applyBorder="1" applyAlignment="1" applyProtection="1">
      <alignment horizontal="center" vertical="center" wrapText="1"/>
      <protection locked="0"/>
    </xf>
    <xf numFmtId="0" fontId="94" fillId="45" borderId="69" xfId="53" applyFont="1" applyFill="1" applyBorder="1" applyAlignment="1" applyProtection="1">
      <alignment horizontal="center" vertical="center" wrapText="1"/>
      <protection locked="0"/>
    </xf>
    <xf numFmtId="0" fontId="94" fillId="45" borderId="70" xfId="53" applyFont="1" applyFill="1" applyBorder="1" applyAlignment="1" applyProtection="1">
      <alignment horizontal="center" vertical="center" wrapText="1"/>
      <protection locked="0"/>
    </xf>
    <xf numFmtId="0" fontId="94" fillId="42" borderId="69" xfId="53" applyFont="1" applyFill="1" applyBorder="1" applyAlignment="1">
      <alignment horizontal="center" wrapText="1"/>
    </xf>
    <xf numFmtId="0" fontId="94" fillId="42" borderId="70" xfId="53" applyFont="1" applyFill="1" applyBorder="1" applyAlignment="1">
      <alignment horizontal="center" wrapText="1"/>
    </xf>
    <xf numFmtId="0" fontId="94" fillId="34" borderId="69" xfId="53" applyFont="1" applyFill="1" applyBorder="1" applyAlignment="1">
      <alignment horizontal="center" wrapText="1"/>
    </xf>
    <xf numFmtId="0" fontId="94" fillId="34" borderId="70" xfId="53" applyFont="1" applyFill="1" applyBorder="1" applyAlignment="1">
      <alignment horizontal="center" wrapText="1"/>
    </xf>
    <xf numFmtId="0" fontId="94" fillId="34" borderId="79" xfId="53" applyFont="1" applyFill="1" applyBorder="1" applyAlignment="1" applyProtection="1">
      <alignment horizontal="center" vertical="center" wrapText="1"/>
      <protection locked="0"/>
    </xf>
    <xf numFmtId="0" fontId="94" fillId="34" borderId="80" xfId="53" applyFont="1" applyFill="1" applyBorder="1" applyAlignment="1" applyProtection="1">
      <alignment horizontal="center" vertical="center" wrapText="1"/>
      <protection locked="0"/>
    </xf>
    <xf numFmtId="0" fontId="94" fillId="34" borderId="81" xfId="53" applyFont="1" applyFill="1" applyBorder="1" applyAlignment="1" applyProtection="1">
      <alignment horizontal="center" vertical="center" wrapText="1"/>
      <protection locked="0"/>
    </xf>
    <xf numFmtId="0" fontId="94" fillId="34" borderId="82" xfId="53" applyFont="1" applyFill="1" applyBorder="1" applyAlignment="1" applyProtection="1">
      <alignment horizontal="center" vertical="center" wrapText="1"/>
      <protection locked="0"/>
    </xf>
    <xf numFmtId="0" fontId="102" fillId="0" borderId="16" xfId="53" applyFont="1" applyFill="1" applyBorder="1" applyAlignment="1">
      <alignment wrapText="1"/>
    </xf>
    <xf numFmtId="0" fontId="104" fillId="0" borderId="16" xfId="53" applyFont="1" applyFill="1" applyBorder="1" applyAlignment="1">
      <alignment wrapText="1"/>
    </xf>
    <xf numFmtId="0" fontId="104" fillId="0" borderId="49" xfId="53" applyFont="1" applyFill="1" applyBorder="1" applyAlignment="1">
      <alignment wrapText="1"/>
    </xf>
    <xf numFmtId="0" fontId="104" fillId="0" borderId="16" xfId="53" applyFont="1" applyFill="1" applyBorder="1" applyAlignment="1">
      <alignment horizontal="center" vertical="center" wrapText="1"/>
    </xf>
    <xf numFmtId="0" fontId="104" fillId="0" borderId="70" xfId="53" applyFont="1" applyFill="1" applyBorder="1" applyAlignment="1">
      <alignment vertical="center" wrapText="1"/>
    </xf>
    <xf numFmtId="0" fontId="104" fillId="0" borderId="68" xfId="53" applyFont="1" applyFill="1" applyBorder="1" applyAlignment="1">
      <alignment vertical="center" wrapText="1"/>
    </xf>
    <xf numFmtId="0" fontId="48" fillId="0" borderId="0" xfId="63" applyFont="1"/>
    <xf numFmtId="0" fontId="24" fillId="0" borderId="0" xfId="63"/>
    <xf numFmtId="0" fontId="119" fillId="0" borderId="0" xfId="63" applyFont="1"/>
    <xf numFmtId="0" fontId="46" fillId="0" borderId="0" xfId="63" applyFont="1"/>
    <xf numFmtId="0" fontId="119" fillId="0" borderId="85" xfId="63" applyFont="1" applyBorder="1"/>
    <xf numFmtId="42" fontId="0" fillId="0" borderId="0" xfId="64" applyNumberFormat="1" applyFont="1"/>
    <xf numFmtId="0" fontId="104" fillId="0" borderId="77" xfId="53" applyFont="1" applyBorder="1" applyAlignment="1">
      <alignment horizontal="center" wrapText="1"/>
    </xf>
    <xf numFmtId="0" fontId="120" fillId="0" borderId="0" xfId="0" applyFont="1"/>
    <xf numFmtId="0" fontId="22" fillId="0" borderId="0" xfId="57" applyFont="1"/>
    <xf numFmtId="0" fontId="101" fillId="0" borderId="0" xfId="52" applyFont="1" applyAlignment="1">
      <alignment vertical="top"/>
    </xf>
    <xf numFmtId="0" fontId="101" fillId="0" borderId="0" xfId="52" applyFont="1" applyAlignment="1">
      <alignment horizontal="left" vertical="center"/>
    </xf>
    <xf numFmtId="0" fontId="22" fillId="39" borderId="0" xfId="57" applyFont="1" applyFill="1"/>
    <xf numFmtId="0" fontId="22" fillId="0" borderId="0" xfId="57" applyFont="1" applyAlignment="1">
      <alignment horizontal="center"/>
    </xf>
    <xf numFmtId="0" fontId="101" fillId="0" borderId="0" xfId="52" applyFont="1"/>
    <xf numFmtId="0" fontId="22" fillId="0" borderId="0" xfId="57" applyFont="1" applyFill="1"/>
    <xf numFmtId="0" fontId="101" fillId="0" borderId="0" xfId="58" applyFont="1"/>
    <xf numFmtId="0" fontId="22" fillId="0" borderId="0" xfId="57" applyFont="1" applyAlignment="1">
      <alignment wrapText="1"/>
    </xf>
    <xf numFmtId="0" fontId="21" fillId="0" borderId="0" xfId="57" applyFont="1"/>
    <xf numFmtId="0" fontId="20" fillId="0" borderId="0" xfId="57" applyFont="1"/>
    <xf numFmtId="0" fontId="20" fillId="0" borderId="0" xfId="57" applyFont="1" applyFill="1"/>
    <xf numFmtId="0" fontId="65" fillId="0" borderId="0" xfId="0" applyFont="1" applyFill="1"/>
    <xf numFmtId="0" fontId="65" fillId="0" borderId="0" xfId="0" applyFont="1"/>
    <xf numFmtId="0" fontId="65" fillId="0" borderId="0" xfId="0" applyFont="1" applyAlignment="1">
      <alignment vertical="center"/>
    </xf>
    <xf numFmtId="0" fontId="65" fillId="0" borderId="0" xfId="0" applyFont="1" applyFill="1" applyAlignment="1">
      <alignment vertical="center" wrapText="1"/>
    </xf>
    <xf numFmtId="0" fontId="65" fillId="0" borderId="0" xfId="57" applyFont="1" applyFill="1"/>
    <xf numFmtId="0" fontId="65" fillId="0" borderId="0" xfId="57" applyFont="1"/>
    <xf numFmtId="0" fontId="65" fillId="0" borderId="0" xfId="0" applyFont="1" applyAlignment="1">
      <alignment horizontal="left" vertical="center" wrapText="1"/>
    </xf>
    <xf numFmtId="0" fontId="20" fillId="0" borderId="0" xfId="57" applyFont="1" applyAlignment="1">
      <alignment horizontal="center"/>
    </xf>
    <xf numFmtId="0" fontId="20" fillId="0" borderId="0" xfId="57" applyFont="1" applyAlignment="1">
      <alignment horizontal="left"/>
    </xf>
    <xf numFmtId="0" fontId="63" fillId="43" borderId="17" xfId="53" applyFont="1" applyFill="1" applyBorder="1" applyAlignment="1" applyProtection="1">
      <alignment horizontal="left" vertical="center" wrapText="1"/>
      <protection locked="0"/>
    </xf>
    <xf numFmtId="0" fontId="63" fillId="44" borderId="17" xfId="53" applyFont="1" applyFill="1" applyBorder="1" applyAlignment="1" applyProtection="1">
      <alignment horizontal="left" vertical="center" wrapText="1"/>
      <protection locked="0"/>
    </xf>
    <xf numFmtId="0" fontId="19" fillId="0" borderId="0" xfId="57" applyFont="1"/>
    <xf numFmtId="0" fontId="22" fillId="41" borderId="0" xfId="57" applyFont="1" applyFill="1"/>
    <xf numFmtId="0" fontId="116" fillId="34" borderId="17" xfId="53" applyFont="1" applyFill="1" applyBorder="1" applyAlignment="1" applyProtection="1">
      <alignment vertical="center" wrapText="1"/>
      <protection locked="0"/>
    </xf>
    <xf numFmtId="0" fontId="94" fillId="34" borderId="14" xfId="53" applyFont="1" applyFill="1" applyBorder="1" applyAlignment="1" applyProtection="1">
      <alignment horizontal="center" vertical="center" wrapText="1"/>
      <protection locked="0"/>
    </xf>
    <xf numFmtId="0" fontId="94" fillId="34" borderId="93" xfId="53" applyFont="1" applyFill="1" applyBorder="1" applyAlignment="1" applyProtection="1">
      <alignment horizontal="center" vertical="center" wrapText="1"/>
      <protection locked="0"/>
    </xf>
    <xf numFmtId="0" fontId="116" fillId="34" borderId="17" xfId="53" applyFont="1" applyFill="1" applyBorder="1" applyAlignment="1">
      <alignment vertical="center" wrapText="1"/>
    </xf>
    <xf numFmtId="0" fontId="94" fillId="34" borderId="14" xfId="53" applyFont="1" applyFill="1" applyBorder="1" applyAlignment="1">
      <alignment horizontal="center" wrapText="1"/>
    </xf>
    <xf numFmtId="0" fontId="94" fillId="42" borderId="14" xfId="53" applyFont="1" applyFill="1" applyBorder="1" applyAlignment="1">
      <alignment horizontal="center" wrapText="1"/>
    </xf>
    <xf numFmtId="0" fontId="116" fillId="42" borderId="17" xfId="53" applyFont="1" applyFill="1" applyBorder="1" applyAlignment="1" applyProtection="1">
      <alignment vertical="center" wrapText="1"/>
      <protection locked="0"/>
    </xf>
    <xf numFmtId="0" fontId="94" fillId="42" borderId="14" xfId="53" applyFont="1" applyFill="1" applyBorder="1" applyAlignment="1" applyProtection="1">
      <alignment horizontal="center" vertical="center" wrapText="1"/>
      <protection locked="0"/>
    </xf>
    <xf numFmtId="0" fontId="116" fillId="45" borderId="17" xfId="53" applyFont="1" applyFill="1" applyBorder="1" applyAlignment="1" applyProtection="1">
      <alignment vertical="center" wrapText="1"/>
      <protection locked="0"/>
    </xf>
    <xf numFmtId="0" fontId="94" fillId="45" borderId="14" xfId="53" applyFont="1" applyFill="1" applyBorder="1" applyAlignment="1" applyProtection="1">
      <alignment horizontal="center" vertical="center" wrapText="1"/>
      <protection locked="0"/>
    </xf>
    <xf numFmtId="0" fontId="116" fillId="35" borderId="17" xfId="53" applyFont="1" applyFill="1" applyBorder="1" applyAlignment="1" applyProtection="1">
      <alignment vertical="center" wrapText="1"/>
      <protection locked="0"/>
    </xf>
    <xf numFmtId="0" fontId="94" fillId="35" borderId="14" xfId="53" applyFont="1" applyFill="1" applyBorder="1" applyAlignment="1" applyProtection="1">
      <alignment horizontal="center" vertical="center" wrapText="1"/>
      <protection locked="0"/>
    </xf>
    <xf numFmtId="0" fontId="94" fillId="44" borderId="14" xfId="53" applyFont="1" applyFill="1" applyBorder="1" applyAlignment="1" applyProtection="1">
      <alignment horizontal="center" vertical="center" wrapText="1"/>
      <protection locked="0"/>
    </xf>
    <xf numFmtId="0" fontId="63" fillId="43" borderId="17" xfId="53" applyFont="1" applyFill="1" applyBorder="1" applyAlignment="1">
      <alignment wrapText="1"/>
    </xf>
    <xf numFmtId="0" fontId="94" fillId="43" borderId="14" xfId="53" applyFont="1" applyFill="1" applyBorder="1" applyAlignment="1" applyProtection="1">
      <alignment horizontal="center" vertical="center" wrapText="1"/>
      <protection locked="0"/>
    </xf>
    <xf numFmtId="0" fontId="94" fillId="35" borderId="17" xfId="53" applyFont="1" applyFill="1" applyBorder="1" applyAlignment="1" applyProtection="1">
      <alignment horizontal="left" vertical="center" wrapText="1"/>
      <protection locked="0"/>
    </xf>
    <xf numFmtId="0" fontId="63" fillId="0" borderId="0" xfId="53" applyFont="1" applyFill="1" applyAlignment="1">
      <alignment horizontal="center" vertical="center" wrapText="1"/>
    </xf>
    <xf numFmtId="0" fontId="94" fillId="0" borderId="17" xfId="53" applyFont="1" applyBorder="1" applyAlignment="1">
      <alignment horizontal="center" vertical="center" wrapText="1"/>
    </xf>
    <xf numFmtId="0" fontId="121" fillId="0" borderId="17" xfId="53" applyFont="1" applyFill="1" applyBorder="1" applyAlignment="1">
      <alignment horizontal="center" vertical="center" wrapText="1"/>
    </xf>
    <xf numFmtId="0" fontId="103" fillId="0" borderId="17" xfId="66" applyFont="1" applyFill="1" applyBorder="1" applyAlignment="1">
      <alignment horizontal="center" vertical="center" wrapText="1"/>
    </xf>
    <xf numFmtId="0" fontId="103" fillId="0" borderId="70" xfId="66" applyFont="1" applyFill="1" applyBorder="1" applyAlignment="1">
      <alignment horizontal="center" vertical="center" wrapText="1"/>
    </xf>
    <xf numFmtId="0" fontId="103" fillId="0" borderId="16" xfId="66" applyFont="1" applyFill="1" applyBorder="1" applyAlignment="1">
      <alignment horizontal="center" vertical="center" wrapText="1"/>
    </xf>
    <xf numFmtId="0" fontId="63" fillId="0" borderId="77" xfId="53" applyFont="1" applyBorder="1" applyAlignment="1">
      <alignment horizontal="center" vertical="center" wrapText="1"/>
    </xf>
    <xf numFmtId="0" fontId="63" fillId="0" borderId="78" xfId="53" applyFont="1" applyBorder="1" applyAlignment="1">
      <alignment horizontal="center" vertical="center" wrapText="1"/>
    </xf>
    <xf numFmtId="0" fontId="63" fillId="0" borderId="63" xfId="53" applyFont="1" applyBorder="1" applyAlignment="1">
      <alignment horizontal="center" vertical="center" wrapText="1"/>
    </xf>
    <xf numFmtId="0" fontId="63" fillId="0" borderId="43" xfId="53" applyFont="1" applyBorder="1" applyAlignment="1">
      <alignment horizontal="center" vertical="center" wrapText="1"/>
    </xf>
    <xf numFmtId="0" fontId="94" fillId="0" borderId="14" xfId="53" applyFont="1" applyFill="1" applyBorder="1" applyAlignment="1">
      <alignment horizontal="center" vertical="center" wrapText="1"/>
    </xf>
    <xf numFmtId="0" fontId="103" fillId="0" borderId="17" xfId="66" applyFont="1" applyFill="1" applyBorder="1" applyAlignment="1">
      <alignment vertical="center" wrapText="1"/>
    </xf>
    <xf numFmtId="0" fontId="103" fillId="0" borderId="70" xfId="66" applyFont="1" applyFill="1" applyBorder="1" applyAlignment="1">
      <alignment vertical="center" wrapText="1"/>
    </xf>
    <xf numFmtId="0" fontId="103" fillId="0" borderId="16" xfId="66" applyFont="1" applyFill="1" applyBorder="1" applyAlignment="1">
      <alignment vertical="center" wrapText="1"/>
    </xf>
    <xf numFmtId="0" fontId="114" fillId="0" borderId="0" xfId="61" applyFont="1" applyBorder="1" applyAlignment="1">
      <alignment horizontal="left" vertical="center"/>
    </xf>
    <xf numFmtId="0" fontId="123" fillId="0" borderId="0" xfId="53" applyFont="1" applyAlignment="1"/>
    <xf numFmtId="0" fontId="124" fillId="0" borderId="0" xfId="53" applyFont="1" applyAlignment="1"/>
    <xf numFmtId="0" fontId="116" fillId="0" borderId="0" xfId="53" applyFont="1" applyAlignment="1">
      <alignment vertical="center" wrapText="1"/>
    </xf>
    <xf numFmtId="0" fontId="116" fillId="34" borderId="16" xfId="53" applyFont="1" applyFill="1" applyBorder="1" applyAlignment="1" applyProtection="1">
      <alignment vertical="center" wrapText="1"/>
      <protection locked="0"/>
    </xf>
    <xf numFmtId="0" fontId="94" fillId="0" borderId="0" xfId="53" applyFont="1" applyAlignment="1">
      <alignment vertical="top" wrapText="1"/>
    </xf>
    <xf numFmtId="0" fontId="94" fillId="43" borderId="17" xfId="53" applyFont="1" applyFill="1" applyBorder="1" applyAlignment="1">
      <alignment wrapText="1"/>
    </xf>
    <xf numFmtId="0" fontId="63" fillId="43" borderId="70" xfId="53" applyFont="1" applyFill="1" applyBorder="1" applyAlignment="1">
      <alignment wrapText="1"/>
    </xf>
    <xf numFmtId="0" fontId="63" fillId="43" borderId="16" xfId="53" applyFont="1" applyFill="1" applyBorder="1" applyAlignment="1">
      <alignment wrapText="1"/>
    </xf>
    <xf numFmtId="0" fontId="94" fillId="43" borderId="17" xfId="53" applyFont="1" applyFill="1" applyBorder="1" applyAlignment="1">
      <alignment vertical="center" wrapText="1"/>
    </xf>
    <xf numFmtId="0" fontId="63" fillId="43" borderId="70" xfId="53" applyFont="1" applyFill="1" applyBorder="1" applyAlignment="1" applyProtection="1">
      <alignment horizontal="left" vertical="center" wrapText="1"/>
      <protection locked="0"/>
    </xf>
    <xf numFmtId="0" fontId="116" fillId="43" borderId="17" xfId="53" applyFont="1" applyFill="1" applyBorder="1" applyAlignment="1">
      <alignment vertical="center" wrapText="1"/>
    </xf>
    <xf numFmtId="0" fontId="94" fillId="43" borderId="17" xfId="53" applyFont="1" applyFill="1" applyBorder="1" applyAlignment="1">
      <alignment vertical="top" wrapText="1"/>
    </xf>
    <xf numFmtId="0" fontId="125" fillId="0" borderId="0" xfId="53" applyFont="1" applyAlignment="1"/>
    <xf numFmtId="0" fontId="63" fillId="34" borderId="17" xfId="53" applyFont="1" applyFill="1" applyBorder="1" applyAlignment="1" applyProtection="1">
      <alignment horizontal="left" vertical="center" wrapText="1"/>
      <protection locked="0"/>
    </xf>
    <xf numFmtId="0" fontId="63" fillId="42" borderId="17" xfId="53" applyFont="1" applyFill="1" applyBorder="1" applyAlignment="1" applyProtection="1">
      <alignment horizontal="left" vertical="center" wrapText="1"/>
      <protection locked="0"/>
    </xf>
    <xf numFmtId="0" fontId="94" fillId="0" borderId="0" xfId="53" applyFont="1" applyAlignment="1"/>
    <xf numFmtId="0" fontId="63" fillId="49" borderId="0" xfId="53" applyFont="1" applyFill="1" applyAlignment="1">
      <alignment vertical="top" wrapText="1"/>
    </xf>
    <xf numFmtId="0" fontId="114" fillId="49" borderId="0" xfId="61" applyFont="1" applyFill="1" applyBorder="1" applyAlignment="1">
      <alignment horizontal="left" vertical="center"/>
    </xf>
    <xf numFmtId="0" fontId="116" fillId="0" borderId="17" xfId="53" applyFont="1" applyFill="1" applyBorder="1" applyAlignment="1">
      <alignment vertical="center" wrapText="1"/>
    </xf>
    <xf numFmtId="0" fontId="116" fillId="0" borderId="44" xfId="53" applyFont="1" applyFill="1" applyBorder="1" applyAlignment="1">
      <alignment vertical="center" wrapText="1"/>
    </xf>
    <xf numFmtId="0" fontId="122" fillId="42" borderId="17" xfId="0" applyFont="1" applyFill="1" applyBorder="1" applyAlignment="1">
      <alignment vertical="center" wrapText="1"/>
    </xf>
    <xf numFmtId="0" fontId="116" fillId="42" borderId="17" xfId="53" applyFont="1" applyFill="1" applyBorder="1" applyAlignment="1">
      <alignment vertical="center" wrapText="1"/>
    </xf>
    <xf numFmtId="0" fontId="116" fillId="45" borderId="17" xfId="53" applyFont="1" applyFill="1" applyBorder="1" applyAlignment="1">
      <alignment vertical="center" wrapText="1"/>
    </xf>
    <xf numFmtId="0" fontId="116" fillId="34" borderId="0" xfId="53" applyFont="1" applyFill="1" applyAlignment="1">
      <alignment vertical="center" wrapText="1"/>
    </xf>
    <xf numFmtId="0" fontId="116" fillId="0" borderId="16" xfId="53" applyFont="1" applyFill="1" applyBorder="1" applyAlignment="1">
      <alignment vertical="center" wrapText="1"/>
    </xf>
    <xf numFmtId="0" fontId="121" fillId="0" borderId="16" xfId="53" applyFont="1" applyFill="1" applyBorder="1" applyAlignment="1">
      <alignment vertical="center" wrapText="1"/>
    </xf>
    <xf numFmtId="0" fontId="121" fillId="0" borderId="49" xfId="53" applyFont="1" applyFill="1" applyBorder="1" applyAlignment="1">
      <alignment vertical="center" wrapText="1"/>
    </xf>
    <xf numFmtId="0" fontId="121" fillId="42" borderId="16" xfId="53" applyFont="1" applyFill="1" applyBorder="1" applyAlignment="1" applyProtection="1">
      <alignment vertical="center" wrapText="1"/>
      <protection locked="0"/>
    </xf>
    <xf numFmtId="0" fontId="116" fillId="42" borderId="16" xfId="53" applyFont="1" applyFill="1" applyBorder="1" applyAlignment="1" applyProtection="1">
      <alignment vertical="center" wrapText="1"/>
      <protection locked="0"/>
    </xf>
    <xf numFmtId="0" fontId="116" fillId="44" borderId="16" xfId="53" applyFont="1" applyFill="1" applyBorder="1" applyAlignment="1" applyProtection="1">
      <alignment vertical="center" wrapText="1"/>
      <protection locked="0"/>
    </xf>
    <xf numFmtId="0" fontId="121" fillId="34" borderId="16" xfId="53" applyFont="1" applyFill="1" applyBorder="1" applyAlignment="1" applyProtection="1">
      <alignment vertical="center" wrapText="1"/>
      <protection locked="0"/>
    </xf>
    <xf numFmtId="0" fontId="116" fillId="35" borderId="16" xfId="53" applyFont="1" applyFill="1" applyBorder="1" applyAlignment="1" applyProtection="1">
      <alignment vertical="center" wrapText="1"/>
      <protection locked="0"/>
    </xf>
    <xf numFmtId="0" fontId="116" fillId="35" borderId="62" xfId="53" applyFont="1" applyFill="1" applyBorder="1" applyAlignment="1" applyProtection="1">
      <alignment vertical="center" wrapText="1"/>
      <protection locked="0"/>
    </xf>
    <xf numFmtId="0" fontId="116" fillId="45" borderId="16" xfId="53" applyFont="1" applyFill="1" applyBorder="1" applyAlignment="1" applyProtection="1">
      <alignment vertical="center" wrapText="1"/>
      <protection locked="0"/>
    </xf>
    <xf numFmtId="0" fontId="116" fillId="45" borderId="44" xfId="53" applyFont="1" applyFill="1" applyBorder="1" applyAlignment="1" applyProtection="1">
      <alignment vertical="center" wrapText="1"/>
      <protection locked="0"/>
    </xf>
    <xf numFmtId="0" fontId="116" fillId="42" borderId="16" xfId="53" applyFont="1" applyFill="1" applyBorder="1" applyAlignment="1">
      <alignment vertical="center" wrapText="1"/>
    </xf>
    <xf numFmtId="0" fontId="116" fillId="34" borderId="16" xfId="53" applyFont="1" applyFill="1" applyBorder="1" applyAlignment="1">
      <alignment vertical="center" wrapText="1"/>
    </xf>
    <xf numFmtId="0" fontId="121" fillId="43" borderId="17" xfId="53" applyFont="1" applyFill="1" applyBorder="1" applyAlignment="1" applyProtection="1">
      <alignment vertical="center" wrapText="1"/>
      <protection locked="0"/>
    </xf>
    <xf numFmtId="0" fontId="63" fillId="0" borderId="0" xfId="53" applyFont="1" applyAlignment="1">
      <alignment horizontal="left" vertical="center" wrapText="1"/>
    </xf>
    <xf numFmtId="0" fontId="128" fillId="0" borderId="0" xfId="0" applyFont="1" applyAlignment="1">
      <alignment horizontal="left" vertical="center" wrapText="1"/>
    </xf>
    <xf numFmtId="0" fontId="63" fillId="0" borderId="17" xfId="53" applyFont="1" applyFill="1" applyBorder="1" applyAlignment="1">
      <alignment horizontal="left" vertical="center" wrapText="1"/>
    </xf>
    <xf numFmtId="0" fontId="50" fillId="0" borderId="17" xfId="53" applyFont="1" applyBorder="1" applyAlignment="1">
      <alignment horizontal="left" vertical="center" wrapText="1"/>
    </xf>
    <xf numFmtId="0" fontId="63" fillId="0" borderId="17" xfId="53" applyFont="1" applyBorder="1" applyAlignment="1">
      <alignment horizontal="left" vertical="center" wrapText="1"/>
    </xf>
    <xf numFmtId="0" fontId="63" fillId="42" borderId="17" xfId="53" applyFont="1" applyFill="1" applyBorder="1" applyAlignment="1">
      <alignment horizontal="left" vertical="center" wrapText="1"/>
    </xf>
    <xf numFmtId="0" fontId="63" fillId="43" borderId="17" xfId="53" applyFont="1" applyFill="1" applyBorder="1" applyAlignment="1">
      <alignment horizontal="left" vertical="center" wrapText="1"/>
    </xf>
    <xf numFmtId="0" fontId="63" fillId="44" borderId="17" xfId="53" applyFont="1" applyFill="1" applyBorder="1" applyAlignment="1">
      <alignment horizontal="left" vertical="center" wrapText="1"/>
    </xf>
    <xf numFmtId="0" fontId="63" fillId="0" borderId="17" xfId="53" applyFont="1" applyFill="1" applyBorder="1" applyAlignment="1" applyProtection="1">
      <alignment horizontal="left" vertical="center" wrapText="1"/>
      <protection locked="0"/>
    </xf>
    <xf numFmtId="0" fontId="63" fillId="41" borderId="17" xfId="53" applyFont="1" applyFill="1" applyBorder="1" applyAlignment="1" applyProtection="1">
      <alignment horizontal="left" vertical="center" wrapText="1"/>
      <protection locked="0"/>
    </xf>
    <xf numFmtId="0" fontId="0" fillId="0" borderId="17" xfId="0" applyBorder="1" applyAlignment="1">
      <alignment horizontal="left" vertical="center" wrapText="1"/>
    </xf>
    <xf numFmtId="0" fontId="0" fillId="0" borderId="0" xfId="0" applyAlignment="1">
      <alignment horizontal="left" vertical="center" wrapText="1"/>
    </xf>
    <xf numFmtId="0" fontId="63" fillId="37" borderId="14" xfId="53" applyFont="1" applyFill="1" applyBorder="1" applyAlignment="1">
      <alignment horizontal="left" vertical="center" wrapText="1"/>
    </xf>
    <xf numFmtId="0" fontId="94" fillId="37" borderId="17" xfId="53" applyFont="1" applyFill="1" applyBorder="1" applyAlignment="1">
      <alignment horizontal="center" wrapText="1"/>
    </xf>
    <xf numFmtId="0" fontId="94" fillId="37" borderId="17" xfId="53" applyFont="1" applyFill="1" applyBorder="1" applyAlignment="1" applyProtection="1">
      <alignment horizontal="center" vertical="center" wrapText="1"/>
      <protection locked="0"/>
    </xf>
    <xf numFmtId="0" fontId="94" fillId="37" borderId="70" xfId="53" applyFont="1" applyFill="1" applyBorder="1" applyAlignment="1">
      <alignment horizontal="center" vertical="center" wrapText="1"/>
    </xf>
    <xf numFmtId="0" fontId="94" fillId="37" borderId="16" xfId="53" applyFont="1" applyFill="1" applyBorder="1" applyAlignment="1">
      <alignment horizontal="center" vertical="center" wrapText="1"/>
    </xf>
    <xf numFmtId="0" fontId="116" fillId="37" borderId="16" xfId="53" applyFont="1" applyFill="1" applyBorder="1" applyAlignment="1">
      <alignment vertical="center" wrapText="1"/>
    </xf>
    <xf numFmtId="0" fontId="116" fillId="37" borderId="17" xfId="53" applyFont="1" applyFill="1" applyBorder="1" applyAlignment="1">
      <alignment vertical="center" wrapText="1"/>
    </xf>
    <xf numFmtId="0" fontId="94" fillId="37" borderId="17" xfId="53" applyFont="1" applyFill="1" applyBorder="1" applyAlignment="1">
      <alignment horizontal="left" vertical="center" wrapText="1"/>
    </xf>
    <xf numFmtId="0" fontId="63" fillId="37" borderId="17" xfId="53" applyFont="1" applyFill="1" applyBorder="1" applyAlignment="1">
      <alignment horizontal="left" vertical="center" wrapText="1"/>
    </xf>
    <xf numFmtId="0" fontId="63" fillId="37" borderId="14" xfId="53" applyFont="1" applyFill="1" applyBorder="1" applyAlignment="1" applyProtection="1">
      <alignment horizontal="left" vertical="center" wrapText="1"/>
      <protection locked="0"/>
    </xf>
    <xf numFmtId="0" fontId="94" fillId="37" borderId="70" xfId="53" applyFont="1" applyFill="1" applyBorder="1" applyAlignment="1" applyProtection="1">
      <alignment horizontal="center" vertical="center" wrapText="1"/>
      <protection locked="0"/>
    </xf>
    <xf numFmtId="0" fontId="94" fillId="37" borderId="69" xfId="53" applyFont="1" applyFill="1" applyBorder="1" applyAlignment="1" applyProtection="1">
      <alignment horizontal="center" vertical="center" wrapText="1"/>
      <protection locked="0"/>
    </xf>
    <xf numFmtId="0" fontId="116" fillId="37" borderId="0" xfId="53" applyFont="1" applyFill="1" applyAlignment="1">
      <alignment vertical="center" wrapText="1"/>
    </xf>
    <xf numFmtId="0" fontId="121" fillId="37" borderId="16" xfId="53" applyFont="1" applyFill="1" applyBorder="1" applyAlignment="1">
      <alignment vertical="center" wrapText="1"/>
    </xf>
    <xf numFmtId="0" fontId="94" fillId="37" borderId="0" xfId="53" applyFont="1" applyFill="1" applyAlignment="1">
      <alignment wrapText="1"/>
    </xf>
    <xf numFmtId="0" fontId="63" fillId="34" borderId="0" xfId="53" applyFont="1" applyFill="1" applyAlignment="1">
      <alignment wrapText="1"/>
    </xf>
    <xf numFmtId="0" fontId="63" fillId="35" borderId="43" xfId="53" applyFont="1" applyFill="1" applyBorder="1" applyAlignment="1" applyProtection="1">
      <alignment horizontal="left" vertical="center" wrapText="1"/>
      <protection locked="0"/>
    </xf>
    <xf numFmtId="0" fontId="63" fillId="35" borderId="17" xfId="53" applyFont="1" applyFill="1" applyBorder="1" applyAlignment="1" applyProtection="1">
      <alignment horizontal="left" vertical="center" wrapText="1"/>
      <protection locked="0"/>
    </xf>
    <xf numFmtId="0" fontId="63" fillId="45" borderId="17" xfId="53" applyFont="1" applyFill="1" applyBorder="1" applyAlignment="1" applyProtection="1">
      <alignment horizontal="left" vertical="center" wrapText="1"/>
      <protection locked="0"/>
    </xf>
    <xf numFmtId="0" fontId="63" fillId="0" borderId="0" xfId="53" applyFont="1" applyFill="1" applyBorder="1" applyAlignment="1">
      <alignment horizontal="center" vertical="center" wrapText="1"/>
    </xf>
    <xf numFmtId="0" fontId="63" fillId="43" borderId="14" xfId="53" applyFont="1" applyFill="1" applyBorder="1" applyAlignment="1">
      <alignment wrapText="1"/>
    </xf>
    <xf numFmtId="0" fontId="116" fillId="35" borderId="43" xfId="53" applyFont="1" applyFill="1" applyBorder="1" applyAlignment="1" applyProtection="1">
      <alignment vertical="center" wrapText="1"/>
      <protection locked="0"/>
    </xf>
    <xf numFmtId="0" fontId="94" fillId="34" borderId="17" xfId="53" applyFont="1" applyFill="1" applyBorder="1" applyAlignment="1" applyProtection="1">
      <alignment horizontal="left" vertical="center" wrapText="1"/>
      <protection locked="0"/>
    </xf>
    <xf numFmtId="0" fontId="94" fillId="34" borderId="45" xfId="53" applyFont="1" applyFill="1" applyBorder="1" applyAlignment="1" applyProtection="1">
      <alignment horizontal="left" vertical="center" wrapText="1"/>
      <protection locked="0"/>
    </xf>
    <xf numFmtId="0" fontId="94" fillId="44" borderId="17" xfId="53" applyFont="1" applyFill="1" applyBorder="1" applyAlignment="1" applyProtection="1">
      <alignment horizontal="left" vertical="center" wrapText="1"/>
      <protection locked="0"/>
    </xf>
    <xf numFmtId="0" fontId="116" fillId="44" borderId="17" xfId="53" applyFont="1" applyFill="1" applyBorder="1" applyAlignment="1" applyProtection="1">
      <alignment vertical="center" wrapText="1"/>
      <protection locked="0"/>
    </xf>
    <xf numFmtId="0" fontId="94" fillId="43" borderId="17" xfId="53" applyFont="1" applyFill="1" applyBorder="1" applyAlignment="1" applyProtection="1">
      <alignment horizontal="left" vertical="center" wrapText="1"/>
      <protection locked="0"/>
    </xf>
    <xf numFmtId="0" fontId="116" fillId="43" borderId="17" xfId="53" applyFont="1" applyFill="1" applyBorder="1" applyAlignment="1" applyProtection="1">
      <alignment vertical="center" wrapText="1"/>
      <protection locked="0"/>
    </xf>
    <xf numFmtId="0" fontId="94" fillId="43" borderId="17" xfId="53" applyFont="1" applyFill="1" applyBorder="1" applyAlignment="1" applyProtection="1">
      <alignment horizontal="center" vertical="center" wrapText="1"/>
      <protection locked="0"/>
    </xf>
    <xf numFmtId="0" fontId="94" fillId="37" borderId="17" xfId="53" applyFont="1" applyFill="1" applyBorder="1" applyAlignment="1" applyProtection="1">
      <alignment horizontal="left" vertical="center" wrapText="1"/>
      <protection locked="0"/>
    </xf>
    <xf numFmtId="0" fontId="106" fillId="0" borderId="0" xfId="68" applyFont="1"/>
    <xf numFmtId="0" fontId="18" fillId="0" borderId="0" xfId="68"/>
    <xf numFmtId="0" fontId="48" fillId="0" borderId="0" xfId="68" applyFont="1"/>
    <xf numFmtId="0" fontId="107" fillId="0" borderId="57" xfId="68" applyFont="1" applyBorder="1" applyAlignment="1">
      <alignment vertical="center"/>
    </xf>
    <xf numFmtId="0" fontId="108" fillId="0" borderId="57" xfId="68" applyFont="1" applyBorder="1" applyAlignment="1">
      <alignment wrapText="1"/>
    </xf>
    <xf numFmtId="0" fontId="109" fillId="44" borderId="58" xfId="68" applyFont="1" applyFill="1" applyBorder="1" applyAlignment="1">
      <alignment wrapText="1"/>
    </xf>
    <xf numFmtId="0" fontId="109" fillId="0" borderId="0" xfId="68" applyFont="1"/>
    <xf numFmtId="0" fontId="48" fillId="44" borderId="15" xfId="68" applyFont="1" applyFill="1" applyBorder="1" applyAlignment="1">
      <alignment horizontal="left"/>
    </xf>
    <xf numFmtId="0" fontId="18" fillId="44" borderId="15" xfId="68" applyFill="1" applyBorder="1" applyAlignment="1"/>
    <xf numFmtId="0" fontId="18" fillId="44" borderId="15" xfId="68" applyFill="1" applyBorder="1"/>
    <xf numFmtId="0" fontId="18" fillId="44" borderId="35" xfId="68" applyFill="1" applyBorder="1"/>
    <xf numFmtId="0" fontId="109" fillId="44" borderId="62" xfId="68" applyFont="1" applyFill="1" applyBorder="1"/>
    <xf numFmtId="0" fontId="48" fillId="0" borderId="43" xfId="68" applyFont="1" applyBorder="1" applyAlignment="1">
      <alignment vertical="center" wrapText="1"/>
    </xf>
    <xf numFmtId="0" fontId="109" fillId="0" borderId="43" xfId="68" applyFont="1" applyBorder="1" applyAlignment="1">
      <alignment vertical="center"/>
    </xf>
    <xf numFmtId="0" fontId="109" fillId="44" borderId="43" xfId="68" applyFont="1" applyFill="1" applyBorder="1" applyAlignment="1">
      <alignment vertical="center"/>
    </xf>
    <xf numFmtId="0" fontId="109" fillId="0" borderId="43" xfId="68" applyFont="1" applyBorder="1" applyAlignment="1">
      <alignment vertical="center" wrapText="1"/>
    </xf>
    <xf numFmtId="0" fontId="18" fillId="0" borderId="43" xfId="68" applyBorder="1" applyAlignment="1">
      <alignment vertical="center"/>
    </xf>
    <xf numFmtId="0" fontId="109" fillId="0" borderId="63" xfId="68" applyFont="1" applyBorder="1" applyAlignment="1">
      <alignment wrapText="1"/>
    </xf>
    <xf numFmtId="0" fontId="109" fillId="0" borderId="17" xfId="68" applyFont="1" applyBorder="1"/>
    <xf numFmtId="0" fontId="48" fillId="0" borderId="17" xfId="68" applyFont="1" applyBorder="1" applyAlignment="1">
      <alignment vertical="center"/>
    </xf>
    <xf numFmtId="0" fontId="109" fillId="0" borderId="17" xfId="68" applyFont="1" applyBorder="1" applyAlignment="1">
      <alignment vertical="center"/>
    </xf>
    <xf numFmtId="0" fontId="108" fillId="0" borderId="17" xfId="68" applyFont="1" applyBorder="1" applyAlignment="1">
      <alignment vertical="center" wrapText="1"/>
    </xf>
    <xf numFmtId="0" fontId="109" fillId="44" borderId="17" xfId="68" applyFont="1" applyFill="1" applyBorder="1" applyAlignment="1">
      <alignment vertical="center" wrapText="1"/>
    </xf>
    <xf numFmtId="0" fontId="18" fillId="0" borderId="17" xfId="68" applyBorder="1" applyAlignment="1">
      <alignment vertical="center"/>
    </xf>
    <xf numFmtId="0" fontId="109" fillId="0" borderId="17" xfId="68" applyFont="1" applyBorder="1" applyAlignment="1">
      <alignment vertical="center" wrapText="1"/>
    </xf>
    <xf numFmtId="0" fontId="109" fillId="0" borderId="14" xfId="68" applyFont="1" applyBorder="1"/>
    <xf numFmtId="0" fontId="109" fillId="44" borderId="17" xfId="68" applyFont="1" applyFill="1" applyBorder="1" applyAlignment="1">
      <alignment vertical="center"/>
    </xf>
    <xf numFmtId="0" fontId="48" fillId="0" borderId="17" xfId="68" applyFont="1" applyBorder="1" applyAlignment="1">
      <alignment vertical="center" wrapText="1"/>
    </xf>
    <xf numFmtId="0" fontId="18" fillId="44" borderId="17" xfId="68" applyFill="1" applyBorder="1" applyAlignment="1">
      <alignment vertical="center"/>
    </xf>
    <xf numFmtId="0" fontId="18" fillId="0" borderId="17" xfId="68" applyBorder="1"/>
    <xf numFmtId="0" fontId="18" fillId="0" borderId="14" xfId="68" applyBorder="1"/>
    <xf numFmtId="0" fontId="48" fillId="0" borderId="17" xfId="68" applyFont="1" applyFill="1" applyBorder="1" applyAlignment="1">
      <alignment vertical="center" wrapText="1"/>
    </xf>
    <xf numFmtId="0" fontId="18" fillId="44" borderId="17" xfId="68" applyFill="1" applyBorder="1"/>
    <xf numFmtId="0" fontId="58" fillId="0" borderId="0" xfId="68" applyFont="1" applyFill="1" applyBorder="1" applyAlignment="1">
      <alignment vertical="center"/>
    </xf>
    <xf numFmtId="0" fontId="48" fillId="0" borderId="0" xfId="68" applyFont="1" applyFill="1" applyBorder="1" applyAlignment="1">
      <alignment vertical="center"/>
    </xf>
    <xf numFmtId="0" fontId="63" fillId="34" borderId="70" xfId="53" applyFont="1" applyFill="1" applyBorder="1" applyAlignment="1">
      <alignment wrapText="1"/>
    </xf>
    <xf numFmtId="0" fontId="128" fillId="0" borderId="0" xfId="0" applyFont="1" applyAlignment="1">
      <alignment vertical="center" wrapText="1"/>
    </xf>
    <xf numFmtId="0" fontId="50" fillId="0" borderId="17" xfId="53" applyFont="1" applyBorder="1" applyAlignment="1">
      <alignment vertical="center" wrapText="1"/>
    </xf>
    <xf numFmtId="0" fontId="63" fillId="0" borderId="17" xfId="53" applyFont="1" applyBorder="1" applyAlignment="1">
      <alignment vertical="center" wrapText="1"/>
    </xf>
    <xf numFmtId="0" fontId="94" fillId="0" borderId="17" xfId="53" applyFont="1" applyBorder="1" applyAlignment="1">
      <alignment vertical="center" wrapText="1"/>
    </xf>
    <xf numFmtId="0" fontId="63" fillId="0" borderId="0" xfId="53" applyFont="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105" fillId="37" borderId="16" xfId="66" applyFont="1" applyFill="1" applyBorder="1" applyAlignment="1">
      <alignment horizontal="center" wrapText="1"/>
    </xf>
    <xf numFmtId="0" fontId="63" fillId="34" borderId="16" xfId="53" applyFont="1" applyFill="1" applyBorder="1" applyAlignment="1" applyProtection="1">
      <alignment horizontal="center" vertical="center" wrapText="1"/>
      <protection locked="0"/>
    </xf>
    <xf numFmtId="0" fontId="63" fillId="42" borderId="16" xfId="53" applyFont="1" applyFill="1" applyBorder="1" applyAlignment="1" applyProtection="1">
      <alignment horizontal="center" vertical="center" wrapText="1"/>
      <protection locked="0"/>
    </xf>
    <xf numFmtId="0" fontId="63" fillId="43" borderId="16" xfId="53" applyFont="1" applyFill="1" applyBorder="1" applyAlignment="1" applyProtection="1">
      <alignment horizontal="center" vertical="center" wrapText="1"/>
      <protection locked="0"/>
    </xf>
    <xf numFmtId="0" fontId="63" fillId="44" borderId="16" xfId="53" applyFont="1" applyFill="1" applyBorder="1" applyAlignment="1" applyProtection="1">
      <alignment horizontal="center" vertical="center" wrapText="1"/>
      <protection locked="0"/>
    </xf>
    <xf numFmtId="0" fontId="63" fillId="35" borderId="16" xfId="53" applyFont="1" applyFill="1" applyBorder="1" applyAlignment="1" applyProtection="1">
      <alignment horizontal="center" vertical="center" wrapText="1"/>
      <protection locked="0"/>
    </xf>
    <xf numFmtId="0" fontId="63" fillId="35" borderId="17" xfId="53" applyFont="1" applyFill="1" applyBorder="1" applyAlignment="1" applyProtection="1">
      <alignment horizontal="center" vertical="center" wrapText="1"/>
      <protection locked="0"/>
    </xf>
    <xf numFmtId="0" fontId="63" fillId="45" borderId="16" xfId="53" applyFont="1" applyFill="1" applyBorder="1" applyAlignment="1" applyProtection="1">
      <alignment horizontal="center" vertical="center" wrapText="1"/>
      <protection locked="0"/>
    </xf>
    <xf numFmtId="0" fontId="63" fillId="42" borderId="16" xfId="53" applyFont="1" applyFill="1" applyBorder="1" applyAlignment="1">
      <alignment horizontal="center" wrapText="1"/>
    </xf>
    <xf numFmtId="0" fontId="63" fillId="34" borderId="16" xfId="53" applyFont="1" applyFill="1" applyBorder="1" applyAlignment="1">
      <alignment horizontal="center" wrapText="1"/>
    </xf>
    <xf numFmtId="0" fontId="63" fillId="34" borderId="82" xfId="53" applyFont="1" applyFill="1" applyBorder="1" applyAlignment="1" applyProtection="1">
      <alignment horizontal="center" vertical="center" wrapText="1"/>
      <protection locked="0"/>
    </xf>
    <xf numFmtId="0" fontId="63" fillId="43" borderId="17" xfId="53" applyFont="1" applyFill="1" applyBorder="1" applyAlignment="1" applyProtection="1">
      <alignment horizontal="center" vertical="center" wrapText="1"/>
      <protection locked="0"/>
    </xf>
    <xf numFmtId="0" fontId="105" fillId="37" borderId="17" xfId="66" applyFont="1" applyFill="1" applyBorder="1" applyAlignment="1">
      <alignment horizontal="center" wrapText="1"/>
    </xf>
    <xf numFmtId="0" fontId="105" fillId="37" borderId="70" xfId="66" applyFont="1" applyFill="1" applyBorder="1" applyAlignment="1">
      <alignment horizontal="center" wrapText="1"/>
    </xf>
    <xf numFmtId="0" fontId="63" fillId="34" borderId="17" xfId="53" applyFont="1" applyFill="1" applyBorder="1" applyAlignment="1" applyProtection="1">
      <alignment horizontal="center" vertical="center" wrapText="1"/>
      <protection locked="0"/>
    </xf>
    <xf numFmtId="0" fontId="63" fillId="34" borderId="70" xfId="53" applyFont="1" applyFill="1" applyBorder="1" applyAlignment="1" applyProtection="1">
      <alignment horizontal="center" vertical="center" wrapText="1"/>
      <protection locked="0"/>
    </xf>
    <xf numFmtId="0" fontId="63" fillId="42" borderId="17" xfId="53" applyFont="1" applyFill="1" applyBorder="1" applyAlignment="1" applyProtection="1">
      <alignment horizontal="center" vertical="center" wrapText="1"/>
      <protection locked="0"/>
    </xf>
    <xf numFmtId="0" fontId="63" fillId="42" borderId="70" xfId="53" applyFont="1" applyFill="1" applyBorder="1" applyAlignment="1" applyProtection="1">
      <alignment horizontal="center" vertical="center" wrapText="1"/>
      <protection locked="0"/>
    </xf>
    <xf numFmtId="0" fontId="63" fillId="43" borderId="70" xfId="53" applyFont="1" applyFill="1" applyBorder="1" applyAlignment="1" applyProtection="1">
      <alignment horizontal="center" vertical="center" wrapText="1"/>
      <protection locked="0"/>
    </xf>
    <xf numFmtId="0" fontId="63" fillId="44" borderId="17" xfId="53" applyFont="1" applyFill="1" applyBorder="1" applyAlignment="1" applyProtection="1">
      <alignment horizontal="center" vertical="center" wrapText="1"/>
      <protection locked="0"/>
    </xf>
    <xf numFmtId="0" fontId="63" fillId="44" borderId="70" xfId="53" applyFont="1" applyFill="1" applyBorder="1" applyAlignment="1" applyProtection="1">
      <alignment horizontal="center" vertical="center" wrapText="1"/>
      <protection locked="0"/>
    </xf>
    <xf numFmtId="0" fontId="63" fillId="35" borderId="70" xfId="53" applyFont="1" applyFill="1" applyBorder="1" applyAlignment="1" applyProtection="1">
      <alignment horizontal="center" vertical="center" wrapText="1"/>
      <protection locked="0"/>
    </xf>
    <xf numFmtId="0" fontId="63" fillId="45" borderId="17" xfId="53" applyFont="1" applyFill="1" applyBorder="1" applyAlignment="1" applyProtection="1">
      <alignment horizontal="center" vertical="center" wrapText="1"/>
      <protection locked="0"/>
    </xf>
    <xf numFmtId="0" fontId="63" fillId="45" borderId="70" xfId="53" applyFont="1" applyFill="1" applyBorder="1" applyAlignment="1" applyProtection="1">
      <alignment horizontal="center" vertical="center" wrapText="1"/>
      <protection locked="0"/>
    </xf>
    <xf numFmtId="0" fontId="63" fillId="42" borderId="17" xfId="53" applyFont="1" applyFill="1" applyBorder="1" applyAlignment="1">
      <alignment horizontal="center" wrapText="1"/>
    </xf>
    <xf numFmtId="0" fontId="63" fillId="42" borderId="70" xfId="53" applyFont="1" applyFill="1" applyBorder="1" applyAlignment="1">
      <alignment horizontal="center" wrapText="1"/>
    </xf>
    <xf numFmtId="0" fontId="63" fillId="34" borderId="17" xfId="53" applyFont="1" applyFill="1" applyBorder="1" applyAlignment="1">
      <alignment horizontal="center" wrapText="1"/>
    </xf>
    <xf numFmtId="0" fontId="63" fillId="34" borderId="70" xfId="53" applyFont="1" applyFill="1" applyBorder="1" applyAlignment="1">
      <alignment horizontal="center" wrapText="1"/>
    </xf>
    <xf numFmtId="0" fontId="63" fillId="34" borderId="81" xfId="53" applyFont="1" applyFill="1" applyBorder="1" applyAlignment="1" applyProtection="1">
      <alignment horizontal="center" vertical="center" wrapText="1"/>
      <protection locked="0"/>
    </xf>
    <xf numFmtId="0" fontId="104" fillId="0" borderId="69" xfId="53" applyFont="1" applyBorder="1" applyAlignment="1">
      <alignment horizontal="center" vertical="center" wrapText="1"/>
    </xf>
    <xf numFmtId="0" fontId="63" fillId="0" borderId="69" xfId="53" applyFont="1" applyBorder="1" applyAlignment="1">
      <alignment horizontal="center" vertical="center" wrapText="1"/>
    </xf>
    <xf numFmtId="0" fontId="105" fillId="37" borderId="69" xfId="66" applyFont="1" applyFill="1" applyBorder="1" applyAlignment="1">
      <alignment horizontal="center" wrapText="1"/>
    </xf>
    <xf numFmtId="0" fontId="63" fillId="37" borderId="69" xfId="53" applyFont="1" applyFill="1" applyBorder="1" applyAlignment="1" applyProtection="1">
      <alignment horizontal="center" vertical="center" wrapText="1"/>
      <protection locked="0"/>
    </xf>
    <xf numFmtId="0" fontId="63" fillId="34" borderId="69" xfId="53" applyFont="1" applyFill="1" applyBorder="1" applyAlignment="1" applyProtection="1">
      <alignment horizontal="center" vertical="center" wrapText="1"/>
      <protection locked="0"/>
    </xf>
    <xf numFmtId="0" fontId="63" fillId="42" borderId="69" xfId="53" applyFont="1" applyFill="1" applyBorder="1" applyAlignment="1" applyProtection="1">
      <alignment horizontal="center" vertical="center" wrapText="1"/>
      <protection locked="0"/>
    </xf>
    <xf numFmtId="0" fontId="63" fillId="43" borderId="69" xfId="53" applyFont="1" applyFill="1" applyBorder="1" applyAlignment="1" applyProtection="1">
      <alignment horizontal="center" vertical="center" wrapText="1"/>
      <protection locked="0"/>
    </xf>
    <xf numFmtId="0" fontId="63" fillId="44" borderId="69" xfId="53" applyFont="1" applyFill="1" applyBorder="1" applyAlignment="1" applyProtection="1">
      <alignment horizontal="center" vertical="center" wrapText="1"/>
      <protection locked="0"/>
    </xf>
    <xf numFmtId="0" fontId="63" fillId="35" borderId="69" xfId="53" applyFont="1" applyFill="1" applyBorder="1" applyAlignment="1" applyProtection="1">
      <alignment horizontal="center" vertical="center" wrapText="1"/>
      <protection locked="0"/>
    </xf>
    <xf numFmtId="0" fontId="63" fillId="45" borderId="69" xfId="53" applyFont="1" applyFill="1" applyBorder="1" applyAlignment="1" applyProtection="1">
      <alignment horizontal="center" vertical="center" wrapText="1"/>
      <protection locked="0"/>
    </xf>
    <xf numFmtId="0" fontId="63" fillId="42" borderId="69" xfId="53" applyFont="1" applyFill="1" applyBorder="1" applyAlignment="1">
      <alignment horizontal="center" wrapText="1"/>
    </xf>
    <xf numFmtId="0" fontId="63" fillId="34" borderId="69" xfId="53" applyFont="1" applyFill="1" applyBorder="1" applyAlignment="1">
      <alignment horizontal="center" wrapText="1"/>
    </xf>
    <xf numFmtId="0" fontId="63" fillId="34" borderId="79" xfId="53" applyFont="1" applyFill="1" applyBorder="1" applyAlignment="1" applyProtection="1">
      <alignment horizontal="center" vertical="center" wrapText="1"/>
      <protection locked="0"/>
    </xf>
    <xf numFmtId="0" fontId="48" fillId="0" borderId="0" xfId="69" applyFont="1"/>
    <xf numFmtId="0" fontId="48" fillId="0" borderId="45" xfId="69" applyFont="1" applyBorder="1"/>
    <xf numFmtId="0" fontId="45" fillId="50" borderId="45" xfId="69" applyFont="1" applyFill="1" applyBorder="1"/>
    <xf numFmtId="0" fontId="52" fillId="0" borderId="0" xfId="69" applyFont="1"/>
    <xf numFmtId="0" fontId="48" fillId="48" borderId="51" xfId="69" applyFont="1" applyFill="1" applyBorder="1" applyAlignment="1">
      <alignment wrapText="1"/>
    </xf>
    <xf numFmtId="0" fontId="48" fillId="0" borderId="0" xfId="69" applyFont="1" applyBorder="1"/>
    <xf numFmtId="0" fontId="48" fillId="34" borderId="51" xfId="69" applyFont="1" applyFill="1" applyBorder="1" applyAlignment="1">
      <alignment vertical="center"/>
    </xf>
    <xf numFmtId="0" fontId="48" fillId="35" borderId="51" xfId="69" applyFont="1" applyFill="1" applyBorder="1" applyAlignment="1">
      <alignment vertical="center"/>
    </xf>
    <xf numFmtId="0" fontId="48" fillId="0" borderId="50" xfId="69" applyFont="1" applyBorder="1" applyAlignment="1">
      <alignment vertical="center"/>
    </xf>
    <xf numFmtId="0" fontId="91" fillId="0" borderId="55" xfId="69" applyFont="1" applyBorder="1" applyAlignment="1">
      <alignment vertical="center" wrapText="1"/>
    </xf>
    <xf numFmtId="0" fontId="48" fillId="0" borderId="0" xfId="69" applyFont="1" applyAlignment="1">
      <alignment vertical="center"/>
    </xf>
    <xf numFmtId="0" fontId="48" fillId="44" borderId="51" xfId="69" applyFont="1" applyFill="1" applyBorder="1" applyAlignment="1">
      <alignment vertical="center"/>
    </xf>
    <xf numFmtId="0" fontId="91" fillId="44" borderId="56" xfId="69" applyFont="1" applyFill="1" applyBorder="1" applyAlignment="1">
      <alignment wrapText="1"/>
    </xf>
    <xf numFmtId="0" fontId="48" fillId="37" borderId="96" xfId="69" applyFont="1" applyFill="1" applyBorder="1" applyAlignment="1">
      <alignment vertical="center"/>
    </xf>
    <xf numFmtId="0" fontId="91" fillId="37" borderId="54" xfId="69" applyFont="1" applyFill="1" applyBorder="1" applyAlignment="1">
      <alignment vertical="center"/>
    </xf>
    <xf numFmtId="0" fontId="48" fillId="0" borderId="55" xfId="69" applyFont="1" applyBorder="1"/>
    <xf numFmtId="0" fontId="45" fillId="50" borderId="47" xfId="69" applyFont="1" applyFill="1" applyBorder="1"/>
    <xf numFmtId="0" fontId="48" fillId="0" borderId="50" xfId="69" applyFont="1" applyBorder="1"/>
    <xf numFmtId="0" fontId="45" fillId="50" borderId="53" xfId="69" applyFont="1" applyFill="1" applyBorder="1"/>
    <xf numFmtId="0" fontId="45" fillId="50" borderId="52" xfId="69" applyFont="1" applyFill="1" applyBorder="1"/>
    <xf numFmtId="0" fontId="48" fillId="35" borderId="15" xfId="69" applyFont="1" applyFill="1" applyBorder="1"/>
    <xf numFmtId="0" fontId="48" fillId="48" borderId="96" xfId="69" applyFont="1" applyFill="1" applyBorder="1" applyAlignment="1">
      <alignment wrapText="1"/>
    </xf>
    <xf numFmtId="0" fontId="98" fillId="45" borderId="53" xfId="69" applyFont="1" applyFill="1" applyBorder="1" applyAlignment="1">
      <alignment wrapText="1"/>
    </xf>
    <xf numFmtId="0" fontId="65" fillId="0" borderId="45" xfId="69" applyFont="1" applyFill="1" applyBorder="1"/>
    <xf numFmtId="0" fontId="99" fillId="41" borderId="95" xfId="69" applyFont="1" applyFill="1" applyBorder="1" applyAlignment="1">
      <alignment wrapText="1"/>
    </xf>
    <xf numFmtId="0" fontId="99" fillId="0" borderId="45" xfId="69" applyFont="1" applyFill="1" applyBorder="1" applyAlignment="1">
      <alignment wrapText="1"/>
    </xf>
    <xf numFmtId="0" fontId="17" fillId="0" borderId="45" xfId="69" applyFont="1" applyFill="1" applyBorder="1"/>
    <xf numFmtId="0" fontId="48" fillId="43" borderId="53" xfId="69" applyFont="1" applyFill="1" applyBorder="1" applyAlignment="1">
      <alignment wrapText="1"/>
    </xf>
    <xf numFmtId="0" fontId="17" fillId="0" borderId="0" xfId="69"/>
    <xf numFmtId="0" fontId="48" fillId="0" borderId="45" xfId="69" applyFont="1" applyFill="1" applyBorder="1" applyAlignment="1">
      <alignment wrapText="1"/>
    </xf>
    <xf numFmtId="0" fontId="16" fillId="0" borderId="0" xfId="57" applyFont="1"/>
    <xf numFmtId="0" fontId="63" fillId="45" borderId="17" xfId="53" applyFont="1" applyFill="1" applyBorder="1" applyAlignment="1">
      <alignment horizontal="center" vertical="center" wrapText="1"/>
    </xf>
    <xf numFmtId="0" fontId="63" fillId="43" borderId="17" xfId="53" applyFont="1" applyFill="1" applyBorder="1" applyAlignment="1">
      <alignment horizontal="center" vertical="center" wrapText="1"/>
    </xf>
    <xf numFmtId="0" fontId="63" fillId="43" borderId="17" xfId="53" applyFont="1" applyFill="1" applyBorder="1" applyAlignment="1">
      <alignment horizontal="center" wrapText="1"/>
    </xf>
    <xf numFmtId="0" fontId="48" fillId="0" borderId="0" xfId="70" applyFont="1"/>
    <xf numFmtId="0" fontId="48" fillId="0" borderId="44" xfId="70" applyFont="1" applyBorder="1"/>
    <xf numFmtId="0" fontId="48" fillId="0" borderId="90" xfId="70" applyFont="1" applyBorder="1"/>
    <xf numFmtId="0" fontId="48" fillId="0" borderId="91" xfId="70" applyFont="1" applyBorder="1"/>
    <xf numFmtId="0" fontId="48" fillId="0" borderId="35" xfId="70" applyFont="1" applyBorder="1"/>
    <xf numFmtId="0" fontId="14" fillId="0" borderId="17" xfId="70" applyFont="1" applyBorder="1" applyAlignment="1">
      <alignment horizontal="left" wrapText="1"/>
    </xf>
    <xf numFmtId="0" fontId="14" fillId="0" borderId="17" xfId="70" applyFont="1" applyBorder="1" applyAlignment="1">
      <alignment horizontal="left"/>
    </xf>
    <xf numFmtId="0" fontId="14" fillId="0" borderId="43" xfId="70" applyFont="1" applyBorder="1" applyAlignment="1">
      <alignment horizontal="left" wrapText="1"/>
    </xf>
    <xf numFmtId="0" fontId="14" fillId="0" borderId="0" xfId="70" applyFont="1" applyAlignment="1">
      <alignment wrapText="1"/>
    </xf>
    <xf numFmtId="14" fontId="65" fillId="0" borderId="92" xfId="70" applyNumberFormat="1" applyFont="1" applyBorder="1"/>
    <xf numFmtId="0" fontId="14" fillId="0" borderId="45" xfId="70" applyFont="1" applyBorder="1"/>
    <xf numFmtId="14" fontId="14" fillId="0" borderId="45" xfId="70" applyNumberFormat="1" applyFont="1" applyBorder="1"/>
    <xf numFmtId="0" fontId="14" fillId="0" borderId="0" xfId="70" applyFont="1" applyBorder="1"/>
    <xf numFmtId="0" fontId="65" fillId="0" borderId="17" xfId="70" applyFont="1" applyBorder="1"/>
    <xf numFmtId="0" fontId="14" fillId="0" borderId="17" xfId="70" applyFont="1" applyBorder="1"/>
    <xf numFmtId="14" fontId="14" fillId="0" borderId="17" xfId="70" applyNumberFormat="1" applyFont="1" applyBorder="1"/>
    <xf numFmtId="0" fontId="65" fillId="0" borderId="17" xfId="70" applyFont="1" applyBorder="1" applyAlignment="1">
      <alignment horizontal="left" wrapText="1"/>
    </xf>
    <xf numFmtId="14" fontId="14" fillId="0" borderId="17" xfId="70" applyNumberFormat="1" applyFont="1" applyBorder="1" applyAlignment="1">
      <alignment horizontal="left" wrapText="1"/>
    </xf>
    <xf numFmtId="14" fontId="65" fillId="0" borderId="17" xfId="70" applyNumberFormat="1" applyFont="1" applyBorder="1" applyAlignment="1">
      <alignment horizontal="left" wrapText="1"/>
    </xf>
    <xf numFmtId="14" fontId="14" fillId="0" borderId="43" xfId="70" applyNumberFormat="1" applyFont="1" applyBorder="1" applyAlignment="1">
      <alignment horizontal="left" wrapText="1"/>
    </xf>
    <xf numFmtId="0" fontId="65" fillId="0" borderId="43" xfId="70" applyFont="1" applyBorder="1" applyAlignment="1">
      <alignment horizontal="left" wrapText="1"/>
    </xf>
    <xf numFmtId="14" fontId="65" fillId="0" borderId="17" xfId="70" applyNumberFormat="1" applyFont="1" applyFill="1" applyBorder="1" applyAlignment="1">
      <alignment horizontal="left" wrapText="1"/>
    </xf>
    <xf numFmtId="14" fontId="65" fillId="0" borderId="43" xfId="70" applyNumberFormat="1" applyFont="1" applyBorder="1" applyAlignment="1">
      <alignment horizontal="left" wrapText="1"/>
    </xf>
    <xf numFmtId="0" fontId="14" fillId="0" borderId="17" xfId="70" applyFont="1" applyFill="1" applyBorder="1" applyAlignment="1">
      <alignment horizontal="left" wrapText="1"/>
    </xf>
    <xf numFmtId="14" fontId="14" fillId="0" borderId="17" xfId="70" applyNumberFormat="1" applyFont="1" applyFill="1" applyBorder="1" applyAlignment="1">
      <alignment horizontal="left" wrapText="1"/>
    </xf>
    <xf numFmtId="0" fontId="65" fillId="0" borderId="44" xfId="70" applyFont="1" applyBorder="1" applyAlignment="1">
      <alignment horizontal="left" wrapText="1"/>
    </xf>
    <xf numFmtId="0" fontId="65" fillId="0" borderId="17" xfId="70" applyFont="1" applyFill="1" applyBorder="1" applyAlignment="1">
      <alignment horizontal="left" wrapText="1"/>
    </xf>
    <xf numFmtId="0" fontId="14" fillId="0" borderId="0" xfId="59" applyFont="1" applyAlignment="1">
      <alignment wrapText="1"/>
    </xf>
    <xf numFmtId="0" fontId="68" fillId="0" borderId="0" xfId="59" applyFont="1" applyAlignment="1">
      <alignment wrapText="1"/>
    </xf>
    <xf numFmtId="0" fontId="48" fillId="0" borderId="0" xfId="59" applyFont="1" applyAlignment="1">
      <alignment wrapText="1"/>
    </xf>
    <xf numFmtId="0" fontId="60" fillId="0" borderId="0" xfId="59" applyFont="1" applyAlignment="1">
      <alignment wrapText="1"/>
    </xf>
    <xf numFmtId="0" fontId="58" fillId="0" borderId="0" xfId="59" applyFont="1" applyAlignment="1">
      <alignment wrapText="1"/>
    </xf>
    <xf numFmtId="0" fontId="60" fillId="39" borderId="0" xfId="59" applyFont="1" applyFill="1" applyAlignment="1">
      <alignment wrapText="1"/>
    </xf>
    <xf numFmtId="0" fontId="48" fillId="39" borderId="0" xfId="59" applyFont="1" applyFill="1" applyAlignment="1">
      <alignment wrapText="1"/>
    </xf>
    <xf numFmtId="0" fontId="48" fillId="0" borderId="10" xfId="59" applyFont="1" applyBorder="1" applyAlignment="1">
      <alignment horizontal="center" wrapText="1"/>
    </xf>
    <xf numFmtId="0" fontId="48" fillId="0" borderId="0" xfId="59" applyFont="1" applyAlignment="1">
      <alignment vertical="top" wrapText="1"/>
    </xf>
    <xf numFmtId="0" fontId="26" fillId="39" borderId="0" xfId="59" applyFill="1" applyBorder="1" applyAlignment="1">
      <alignment horizontal="left" vertical="center" wrapText="1"/>
    </xf>
    <xf numFmtId="0" fontId="26" fillId="0" borderId="0" xfId="59" applyAlignment="1">
      <alignment vertical="top" wrapText="1"/>
    </xf>
    <xf numFmtId="0" fontId="48" fillId="39" borderId="0" xfId="59" applyFont="1" applyFill="1" applyBorder="1" applyAlignment="1">
      <alignment horizontal="left" vertical="center" wrapText="1"/>
    </xf>
    <xf numFmtId="0" fontId="48" fillId="0" borderId="0" xfId="59" applyFont="1" applyAlignment="1">
      <alignment vertical="center" wrapText="1"/>
    </xf>
    <xf numFmtId="0" fontId="26" fillId="0" borderId="0" xfId="59" applyAlignment="1">
      <alignment vertical="center" wrapText="1"/>
    </xf>
    <xf numFmtId="17" fontId="26" fillId="0" borderId="0" xfId="59" applyNumberFormat="1" applyAlignment="1">
      <alignment wrapText="1"/>
    </xf>
    <xf numFmtId="0" fontId="26" fillId="0" borderId="0" xfId="59" applyFont="1" applyAlignment="1">
      <alignment horizontal="left" vertical="center" wrapText="1"/>
    </xf>
    <xf numFmtId="0" fontId="26" fillId="0" borderId="0" xfId="59" applyAlignment="1">
      <alignment horizontal="left" vertical="top" wrapText="1"/>
    </xf>
    <xf numFmtId="16" fontId="14" fillId="0" borderId="0" xfId="59" applyNumberFormat="1" applyFont="1" applyAlignment="1">
      <alignment wrapText="1"/>
    </xf>
    <xf numFmtId="16" fontId="26" fillId="0" borderId="0" xfId="59" applyNumberFormat="1" applyAlignment="1">
      <alignment wrapText="1"/>
    </xf>
    <xf numFmtId="0" fontId="70" fillId="0" borderId="0" xfId="59" applyFont="1" applyAlignment="1"/>
    <xf numFmtId="0" fontId="26" fillId="0" borderId="0" xfId="59" applyAlignment="1"/>
    <xf numFmtId="0" fontId="13" fillId="0" borderId="17" xfId="70" applyFont="1" applyBorder="1" applyAlignment="1">
      <alignment horizontal="left" wrapText="1"/>
    </xf>
    <xf numFmtId="0" fontId="12" fillId="0" borderId="0" xfId="57" applyFont="1"/>
    <xf numFmtId="0" fontId="12" fillId="41" borderId="0" xfId="57" applyFont="1" applyFill="1"/>
    <xf numFmtId="0" fontId="11" fillId="0" borderId="17" xfId="70" applyFont="1" applyBorder="1" applyAlignment="1">
      <alignment horizontal="left" wrapText="1"/>
    </xf>
    <xf numFmtId="0" fontId="11" fillId="0" borderId="17" xfId="70" applyFont="1" applyBorder="1" applyAlignment="1">
      <alignment horizontal="left"/>
    </xf>
    <xf numFmtId="0" fontId="104" fillId="36" borderId="77" xfId="53" applyFont="1" applyFill="1" applyBorder="1" applyAlignment="1">
      <alignment horizontal="center" wrapText="1"/>
    </xf>
    <xf numFmtId="0" fontId="103" fillId="36" borderId="62" xfId="66" applyFont="1" applyFill="1" applyBorder="1" applyAlignment="1">
      <alignment vertical="center" wrapText="1"/>
    </xf>
    <xf numFmtId="0" fontId="11" fillId="0" borderId="0" xfId="57" applyFont="1"/>
    <xf numFmtId="0" fontId="94" fillId="37" borderId="17" xfId="53" applyFont="1" applyFill="1" applyBorder="1" applyAlignment="1" applyProtection="1">
      <alignment horizontal="left" vertical="center" wrapText="1"/>
      <protection locked="0"/>
    </xf>
    <xf numFmtId="0" fontId="94" fillId="34" borderId="17" xfId="53" applyFont="1" applyFill="1" applyBorder="1" applyAlignment="1" applyProtection="1">
      <alignment horizontal="left" vertical="center" wrapText="1"/>
      <protection locked="0"/>
    </xf>
    <xf numFmtId="0" fontId="94" fillId="43" borderId="17" xfId="53" applyFont="1" applyFill="1" applyBorder="1" applyAlignment="1" applyProtection="1">
      <alignment horizontal="left" vertical="center" wrapText="1"/>
      <protection locked="0"/>
    </xf>
    <xf numFmtId="0" fontId="116" fillId="43" borderId="17" xfId="53" applyFont="1" applyFill="1" applyBorder="1" applyAlignment="1" applyProtection="1">
      <alignment vertical="center" wrapText="1"/>
      <protection locked="0"/>
    </xf>
    <xf numFmtId="0" fontId="94" fillId="44" borderId="17" xfId="53" applyFont="1" applyFill="1" applyBorder="1" applyAlignment="1" applyProtection="1">
      <alignment horizontal="left" vertical="center" wrapText="1"/>
      <protection locked="0"/>
    </xf>
    <xf numFmtId="0" fontId="116" fillId="44" borderId="17" xfId="53" applyFont="1" applyFill="1" applyBorder="1" applyAlignment="1" applyProtection="1">
      <alignment vertical="center" wrapText="1"/>
      <protection locked="0"/>
    </xf>
    <xf numFmtId="0" fontId="94" fillId="34" borderId="45" xfId="53" applyFont="1" applyFill="1" applyBorder="1" applyAlignment="1" applyProtection="1">
      <alignment horizontal="left" vertical="center" wrapText="1"/>
      <protection locked="0"/>
    </xf>
    <xf numFmtId="0" fontId="116" fillId="35" borderId="43" xfId="53" applyFont="1" applyFill="1" applyBorder="1" applyAlignment="1" applyProtection="1">
      <alignment vertical="center" wrapText="1"/>
      <protection locked="0"/>
    </xf>
    <xf numFmtId="0" fontId="94" fillId="0" borderId="15" xfId="53" applyFont="1" applyFill="1" applyBorder="1" applyAlignment="1">
      <alignment horizontal="center" wrapText="1"/>
    </xf>
    <xf numFmtId="0" fontId="116" fillId="0" borderId="65" xfId="53" applyFont="1" applyBorder="1" applyAlignment="1">
      <alignment horizontal="left" vertical="top" wrapText="1"/>
    </xf>
    <xf numFmtId="0" fontId="116" fillId="0" borderId="66" xfId="53" applyFont="1" applyBorder="1" applyAlignment="1">
      <alignment horizontal="left" wrapText="1"/>
    </xf>
    <xf numFmtId="0" fontId="128" fillId="0" borderId="17" xfId="53" applyFont="1" applyBorder="1" applyAlignment="1">
      <alignment horizontal="left" vertical="center" wrapText="1"/>
    </xf>
    <xf numFmtId="0" fontId="103" fillId="0" borderId="44" xfId="71" applyFont="1" applyFill="1" applyBorder="1" applyAlignment="1">
      <alignment vertical="center" wrapText="1"/>
    </xf>
    <xf numFmtId="0" fontId="103" fillId="0" borderId="64" xfId="71" applyFont="1" applyFill="1" applyBorder="1" applyAlignment="1">
      <alignment vertical="center" wrapText="1"/>
    </xf>
    <xf numFmtId="0" fontId="103" fillId="0" borderId="46" xfId="71" applyFont="1" applyFill="1" applyBorder="1" applyAlignment="1">
      <alignment vertical="center" wrapText="1"/>
    </xf>
    <xf numFmtId="0" fontId="103" fillId="0" borderId="17" xfId="71" applyFont="1" applyFill="1" applyBorder="1" applyAlignment="1">
      <alignment horizontal="center" vertical="center" wrapText="1"/>
    </xf>
    <xf numFmtId="0" fontId="103" fillId="0" borderId="14" xfId="71" applyFont="1" applyFill="1" applyBorder="1" applyAlignment="1">
      <alignment horizontal="center" vertical="center" wrapText="1"/>
    </xf>
    <xf numFmtId="0" fontId="103" fillId="0" borderId="15" xfId="71" applyFont="1" applyFill="1" applyBorder="1" applyAlignment="1">
      <alignment horizontal="center" vertical="center" wrapText="1"/>
    </xf>
    <xf numFmtId="0" fontId="117" fillId="0" borderId="0" xfId="71" applyFont="1" applyFill="1" applyBorder="1" applyAlignment="1">
      <alignment horizontal="left" vertical="center"/>
    </xf>
    <xf numFmtId="0" fontId="117" fillId="0" borderId="0" xfId="71" applyFont="1" applyFill="1" applyBorder="1" applyAlignment="1">
      <alignment horizontal="left" vertical="center" wrapText="1"/>
    </xf>
    <xf numFmtId="0" fontId="63" fillId="0" borderId="35" xfId="53" applyFont="1" applyBorder="1" applyAlignment="1">
      <alignment horizontal="center" vertical="center" wrapText="1"/>
    </xf>
    <xf numFmtId="0" fontId="105" fillId="37" borderId="17" xfId="71" applyFont="1" applyFill="1" applyBorder="1" applyAlignment="1">
      <alignment horizontal="center" vertical="center" wrapText="1"/>
    </xf>
    <xf numFmtId="0" fontId="105" fillId="37" borderId="14" xfId="71" applyFont="1" applyFill="1" applyBorder="1" applyAlignment="1">
      <alignment horizontal="center" vertical="center" wrapText="1"/>
    </xf>
    <xf numFmtId="0" fontId="63" fillId="34" borderId="14" xfId="53" applyFont="1" applyFill="1" applyBorder="1" applyAlignment="1" applyProtection="1">
      <alignment horizontal="center" vertical="center" wrapText="1"/>
      <protection locked="0"/>
    </xf>
    <xf numFmtId="0" fontId="63" fillId="42" borderId="14" xfId="53" applyFont="1" applyFill="1" applyBorder="1" applyAlignment="1" applyProtection="1">
      <alignment horizontal="center" vertical="center" wrapText="1"/>
      <protection locked="0"/>
    </xf>
    <xf numFmtId="0" fontId="63" fillId="43" borderId="14" xfId="53" applyFont="1" applyFill="1" applyBorder="1" applyAlignment="1" applyProtection="1">
      <alignment horizontal="center" vertical="center" wrapText="1"/>
      <protection locked="0"/>
    </xf>
    <xf numFmtId="0" fontId="63" fillId="44" borderId="14" xfId="53" applyFont="1" applyFill="1" applyBorder="1" applyAlignment="1" applyProtection="1">
      <alignment horizontal="center" vertical="center" wrapText="1"/>
      <protection locked="0"/>
    </xf>
    <xf numFmtId="0" fontId="63" fillId="35" borderId="14" xfId="53" applyFont="1" applyFill="1" applyBorder="1" applyAlignment="1" applyProtection="1">
      <alignment horizontal="center" vertical="center" wrapText="1"/>
      <protection locked="0"/>
    </xf>
    <xf numFmtId="0" fontId="63" fillId="45" borderId="14" xfId="53" applyFont="1" applyFill="1" applyBorder="1" applyAlignment="1" applyProtection="1">
      <alignment horizontal="center" vertical="center" wrapText="1"/>
      <protection locked="0"/>
    </xf>
    <xf numFmtId="0" fontId="63" fillId="42" borderId="17" xfId="53" applyFont="1" applyFill="1" applyBorder="1" applyAlignment="1">
      <alignment horizontal="center" vertical="center" wrapText="1"/>
    </xf>
    <xf numFmtId="0" fontId="63" fillId="42" borderId="14" xfId="53" applyFont="1" applyFill="1" applyBorder="1" applyAlignment="1">
      <alignment horizontal="center" vertical="center" wrapText="1"/>
    </xf>
    <xf numFmtId="0" fontId="63" fillId="34" borderId="17" xfId="53" applyFont="1" applyFill="1" applyBorder="1" applyAlignment="1">
      <alignment horizontal="center" vertical="center" wrapText="1"/>
    </xf>
    <xf numFmtId="0" fontId="63" fillId="34" borderId="14" xfId="53" applyFont="1" applyFill="1" applyBorder="1" applyAlignment="1">
      <alignment horizontal="center" vertical="center" wrapText="1"/>
    </xf>
    <xf numFmtId="0" fontId="63" fillId="0" borderId="46" xfId="53" applyFont="1" applyBorder="1" applyAlignment="1">
      <alignment horizontal="center" vertical="center" wrapText="1"/>
    </xf>
    <xf numFmtId="0" fontId="63" fillId="0" borderId="0" xfId="53" applyFont="1" applyBorder="1" applyAlignment="1">
      <alignment horizontal="center" vertical="center" wrapText="1"/>
    </xf>
    <xf numFmtId="0" fontId="114" fillId="0" borderId="0" xfId="61" applyFont="1" applyBorder="1" applyAlignment="1">
      <alignment horizontal="center" vertical="center"/>
    </xf>
    <xf numFmtId="0" fontId="105" fillId="0" borderId="0" xfId="61" applyFont="1" applyBorder="1" applyAlignment="1">
      <alignment horizontal="center" vertical="center"/>
    </xf>
    <xf numFmtId="0" fontId="63" fillId="0" borderId="0" xfId="53" applyFont="1" applyBorder="1" applyAlignment="1">
      <alignment horizontal="center" vertical="center"/>
    </xf>
    <xf numFmtId="0" fontId="63" fillId="43" borderId="14" xfId="53" applyFont="1" applyFill="1" applyBorder="1" applyAlignment="1">
      <alignment horizontal="center" vertical="center" wrapText="1"/>
    </xf>
    <xf numFmtId="0" fontId="94" fillId="37" borderId="15" xfId="53" applyFont="1" applyFill="1" applyBorder="1" applyAlignment="1" applyProtection="1">
      <alignment horizontal="center" vertical="center" wrapText="1"/>
      <protection locked="0"/>
    </xf>
    <xf numFmtId="0" fontId="63" fillId="0" borderId="0" xfId="53" applyFont="1" applyAlignment="1"/>
    <xf numFmtId="0" fontId="63" fillId="0" borderId="0" xfId="53" applyFont="1" applyAlignment="1">
      <alignment wrapText="1"/>
    </xf>
    <xf numFmtId="0" fontId="63" fillId="0" borderId="0" xfId="53" applyFont="1" applyAlignment="1">
      <alignment vertical="top" wrapText="1"/>
    </xf>
    <xf numFmtId="0" fontId="63" fillId="43" borderId="17" xfId="53" applyFont="1" applyFill="1" applyBorder="1" applyAlignment="1">
      <alignment wrapText="1"/>
    </xf>
    <xf numFmtId="0" fontId="94" fillId="0" borderId="15" xfId="53" applyFont="1" applyFill="1" applyBorder="1" applyAlignment="1">
      <alignment horizontal="right" vertical="center" wrapText="1"/>
    </xf>
    <xf numFmtId="0" fontId="118" fillId="0" borderId="0" xfId="53" applyFont="1" applyFill="1" applyBorder="1" applyAlignment="1">
      <alignment horizontal="right" vertical="center" wrapText="1"/>
    </xf>
    <xf numFmtId="0" fontId="94" fillId="37" borderId="17" xfId="53" applyFont="1" applyFill="1" applyBorder="1" applyAlignment="1">
      <alignment horizontal="center" vertical="center" wrapText="1"/>
    </xf>
    <xf numFmtId="0" fontId="94" fillId="37" borderId="17" xfId="53" applyFont="1" applyFill="1" applyBorder="1" applyAlignment="1" applyProtection="1">
      <alignment horizontal="left" vertical="center" wrapText="1"/>
      <protection locked="0"/>
    </xf>
    <xf numFmtId="0" fontId="94" fillId="34" borderId="17" xfId="53" applyFont="1" applyFill="1" applyBorder="1" applyAlignment="1" applyProtection="1">
      <alignment horizontal="center" vertical="center" wrapText="1"/>
      <protection locked="0"/>
    </xf>
    <xf numFmtId="0" fontId="94" fillId="34" borderId="17" xfId="53" applyFont="1" applyFill="1" applyBorder="1" applyAlignment="1" applyProtection="1">
      <alignment horizontal="left" vertical="center" wrapText="1"/>
      <protection locked="0"/>
    </xf>
    <xf numFmtId="0" fontId="94" fillId="43" borderId="17" xfId="53" applyFont="1" applyFill="1" applyBorder="1" applyAlignment="1" applyProtection="1">
      <alignment horizontal="left" vertical="center" wrapText="1"/>
      <protection locked="0"/>
    </xf>
    <xf numFmtId="0" fontId="94" fillId="34" borderId="45" xfId="53" applyFont="1" applyFill="1" applyBorder="1" applyAlignment="1" applyProtection="1">
      <alignment horizontal="left" vertical="center" wrapText="1"/>
      <protection locked="0"/>
    </xf>
    <xf numFmtId="0" fontId="94" fillId="43" borderId="17" xfId="53" applyFont="1" applyFill="1" applyBorder="1" applyAlignment="1" applyProtection="1">
      <alignment horizontal="center" vertical="center" wrapText="1"/>
      <protection locked="0"/>
    </xf>
    <xf numFmtId="0" fontId="116" fillId="43" borderId="17" xfId="53" applyFont="1" applyFill="1" applyBorder="1" applyAlignment="1" applyProtection="1">
      <alignment vertical="center" wrapText="1"/>
      <protection locked="0"/>
    </xf>
    <xf numFmtId="0" fontId="94" fillId="44" borderId="17" xfId="53" applyFont="1" applyFill="1" applyBorder="1" applyAlignment="1" applyProtection="1">
      <alignment horizontal="center" vertical="center" wrapText="1"/>
      <protection locked="0"/>
    </xf>
    <xf numFmtId="0" fontId="94" fillId="44" borderId="17" xfId="53" applyFont="1" applyFill="1" applyBorder="1" applyAlignment="1" applyProtection="1">
      <alignment horizontal="left" vertical="center" wrapText="1"/>
      <protection locked="0"/>
    </xf>
    <xf numFmtId="0" fontId="116" fillId="44" borderId="17" xfId="53" applyFont="1" applyFill="1" applyBorder="1" applyAlignment="1" applyProtection="1">
      <alignment vertical="center" wrapText="1"/>
      <protection locked="0"/>
    </xf>
    <xf numFmtId="0" fontId="116" fillId="35" borderId="43" xfId="53" applyFont="1" applyFill="1" applyBorder="1" applyAlignment="1" applyProtection="1">
      <alignment vertical="center" wrapText="1"/>
      <protection locked="0"/>
    </xf>
    <xf numFmtId="0" fontId="94" fillId="42" borderId="17" xfId="53" applyFont="1" applyFill="1" applyBorder="1" applyAlignment="1" applyProtection="1">
      <alignment horizontal="center" vertical="center" wrapText="1"/>
      <protection locked="0"/>
    </xf>
    <xf numFmtId="0" fontId="94" fillId="45" borderId="17" xfId="53" applyFont="1" applyFill="1" applyBorder="1" applyAlignment="1" applyProtection="1">
      <alignment horizontal="center" vertical="center" wrapText="1"/>
      <protection locked="0"/>
    </xf>
    <xf numFmtId="0" fontId="116" fillId="0" borderId="0" xfId="53" applyFont="1" applyFill="1" applyBorder="1" applyAlignment="1">
      <alignment horizontal="center" vertical="center" wrapText="1"/>
    </xf>
    <xf numFmtId="0" fontId="94" fillId="43" borderId="69" xfId="53" applyFont="1" applyFill="1" applyBorder="1" applyAlignment="1" applyProtection="1">
      <alignment horizontal="center" vertical="center" wrapText="1"/>
      <protection locked="0"/>
    </xf>
    <xf numFmtId="0" fontId="116" fillId="0" borderId="0" xfId="53" applyFont="1" applyFill="1" applyBorder="1" applyAlignment="1">
      <alignment horizontal="left" vertical="center" wrapText="1"/>
    </xf>
    <xf numFmtId="0" fontId="94" fillId="0" borderId="46" xfId="53" applyFont="1" applyFill="1" applyBorder="1" applyAlignment="1">
      <alignment horizontal="center" wrapText="1"/>
    </xf>
    <xf numFmtId="0" fontId="94" fillId="0" borderId="15" xfId="53" applyFont="1" applyFill="1" applyBorder="1" applyAlignment="1">
      <alignment horizontal="center" wrapText="1"/>
    </xf>
    <xf numFmtId="0" fontId="94" fillId="43" borderId="44" xfId="53" applyFont="1" applyFill="1" applyBorder="1" applyAlignment="1" applyProtection="1">
      <alignment horizontal="center" vertical="center" wrapText="1"/>
      <protection locked="0"/>
    </xf>
    <xf numFmtId="0" fontId="94" fillId="43" borderId="43" xfId="53" applyFont="1" applyFill="1" applyBorder="1" applyAlignment="1" applyProtection="1">
      <alignment horizontal="center" vertical="center" wrapText="1"/>
      <protection locked="0"/>
    </xf>
    <xf numFmtId="0" fontId="94" fillId="35" borderId="17" xfId="53" applyFont="1" applyFill="1" applyBorder="1" applyAlignment="1" applyProtection="1">
      <alignment horizontal="center" vertical="center" wrapText="1"/>
      <protection locked="0"/>
    </xf>
    <xf numFmtId="0" fontId="94" fillId="35" borderId="17" xfId="53" applyFont="1" applyFill="1" applyBorder="1" applyAlignment="1">
      <alignment horizontal="center" vertical="center" wrapText="1"/>
    </xf>
    <xf numFmtId="0" fontId="8" fillId="0" borderId="0" xfId="70" applyFont="1"/>
    <xf numFmtId="14" fontId="8" fillId="0" borderId="0" xfId="70" applyNumberFormat="1" applyFont="1" applyAlignment="1">
      <alignment horizontal="left"/>
    </xf>
    <xf numFmtId="0" fontId="8" fillId="0" borderId="17" xfId="70" applyFont="1" applyBorder="1" applyAlignment="1">
      <alignment horizontal="left" wrapText="1"/>
    </xf>
    <xf numFmtId="0" fontId="94" fillId="0" borderId="98" xfId="53" applyFont="1" applyFill="1" applyBorder="1" applyAlignment="1">
      <alignment horizontal="right" vertical="center" wrapText="1"/>
    </xf>
    <xf numFmtId="0" fontId="94" fillId="0" borderId="16" xfId="53" applyFont="1" applyFill="1" applyBorder="1" applyAlignment="1">
      <alignment horizontal="center" wrapText="1"/>
    </xf>
    <xf numFmtId="0" fontId="94" fillId="0" borderId="68" xfId="53" applyFont="1" applyFill="1" applyBorder="1" applyAlignment="1">
      <alignment horizontal="center" wrapText="1"/>
    </xf>
    <xf numFmtId="0" fontId="94" fillId="0" borderId="99" xfId="53" applyFont="1" applyFill="1" applyBorder="1" applyAlignment="1">
      <alignment horizontal="center" vertical="top" wrapText="1"/>
    </xf>
    <xf numFmtId="0" fontId="94" fillId="0" borderId="46" xfId="53" applyFont="1" applyFill="1" applyBorder="1" applyAlignment="1">
      <alignment horizontal="center" vertical="top" wrapText="1"/>
    </xf>
    <xf numFmtId="0" fontId="103" fillId="0" borderId="67" xfId="127" applyFont="1" applyFill="1" applyBorder="1" applyAlignment="1">
      <alignment horizontal="center" vertical="top" wrapText="1"/>
    </xf>
    <xf numFmtId="0" fontId="103" fillId="0" borderId="44" xfId="127" applyFont="1" applyFill="1" applyBorder="1" applyAlignment="1">
      <alignment horizontal="center" vertical="top" wrapText="1"/>
    </xf>
    <xf numFmtId="0" fontId="103" fillId="0" borderId="64" xfId="127" applyFont="1" applyFill="1" applyBorder="1" applyAlignment="1">
      <alignment horizontal="center" vertical="top" wrapText="1"/>
    </xf>
    <xf numFmtId="0" fontId="103" fillId="0" borderId="64" xfId="128" applyFont="1" applyFill="1" applyBorder="1" applyAlignment="1">
      <alignment horizontal="center" vertical="top" wrapText="1"/>
    </xf>
    <xf numFmtId="0" fontId="103" fillId="0" borderId="68" xfId="127" applyFont="1" applyFill="1" applyBorder="1" applyAlignment="1">
      <alignment horizontal="center" vertical="top" wrapText="1"/>
    </xf>
    <xf numFmtId="0" fontId="103" fillId="0" borderId="99" xfId="127" applyFont="1" applyFill="1" applyBorder="1" applyAlignment="1">
      <alignment horizontal="center" vertical="top" wrapText="1"/>
    </xf>
    <xf numFmtId="0" fontId="103" fillId="0" borderId="49" xfId="128" applyFont="1" applyFill="1" applyBorder="1" applyAlignment="1">
      <alignment horizontal="center" vertical="top" wrapText="1"/>
    </xf>
    <xf numFmtId="0" fontId="103" fillId="0" borderId="49" xfId="127" applyFont="1" applyFill="1" applyBorder="1" applyAlignment="1">
      <alignment horizontal="center" vertical="top" wrapText="1"/>
    </xf>
    <xf numFmtId="0" fontId="104" fillId="0" borderId="0" xfId="53" applyFont="1" applyBorder="1" applyAlignment="1">
      <alignment horizontal="center" vertical="top" wrapText="1"/>
    </xf>
    <xf numFmtId="0" fontId="104" fillId="0" borderId="100" xfId="53" applyFont="1" applyFill="1" applyBorder="1" applyAlignment="1">
      <alignment horizontal="center" vertical="top" wrapText="1"/>
    </xf>
    <xf numFmtId="0" fontId="103" fillId="0" borderId="46" xfId="127" applyFont="1" applyFill="1" applyBorder="1" applyAlignment="1">
      <alignment horizontal="center" vertical="top" wrapText="1"/>
    </xf>
    <xf numFmtId="0" fontId="104" fillId="0" borderId="69" xfId="53" applyFont="1" applyFill="1" applyBorder="1" applyAlignment="1">
      <alignment horizontal="center" vertical="top" wrapText="1"/>
    </xf>
    <xf numFmtId="0" fontId="103" fillId="0" borderId="17" xfId="127" applyFont="1" applyFill="1" applyBorder="1" applyAlignment="1">
      <alignment horizontal="center" vertical="top" wrapText="1"/>
    </xf>
    <xf numFmtId="0" fontId="103" fillId="0" borderId="16" xfId="127" applyFont="1" applyFill="1" applyBorder="1" applyAlignment="1">
      <alignment horizontal="center" vertical="top" wrapText="1"/>
    </xf>
    <xf numFmtId="0" fontId="103" fillId="0" borderId="70" xfId="127" applyFont="1" applyFill="1" applyBorder="1" applyAlignment="1">
      <alignment horizontal="center" vertical="top" wrapText="1"/>
    </xf>
    <xf numFmtId="0" fontId="103" fillId="0" borderId="15" xfId="127" applyFont="1" applyFill="1" applyBorder="1" applyAlignment="1">
      <alignment horizontal="center" vertical="top" wrapText="1"/>
    </xf>
    <xf numFmtId="0" fontId="103" fillId="0" borderId="69" xfId="127" applyFont="1" applyFill="1" applyBorder="1" applyAlignment="1">
      <alignment horizontal="center" vertical="top" wrapText="1"/>
    </xf>
    <xf numFmtId="0" fontId="104" fillId="0" borderId="70" xfId="53" applyFont="1" applyFill="1" applyBorder="1" applyAlignment="1">
      <alignment horizontal="center" vertical="top" wrapText="1"/>
    </xf>
    <xf numFmtId="0" fontId="94" fillId="36" borderId="101" xfId="53" applyFont="1" applyFill="1" applyBorder="1" applyAlignment="1">
      <alignment horizontal="center" vertical="center" wrapText="1"/>
    </xf>
    <xf numFmtId="0" fontId="103" fillId="0" borderId="69" xfId="127" applyFont="1" applyFill="1" applyBorder="1" applyAlignment="1">
      <alignment horizontal="center" vertical="center" wrapText="1"/>
    </xf>
    <xf numFmtId="0" fontId="103" fillId="0" borderId="17" xfId="127" applyFont="1" applyFill="1" applyBorder="1" applyAlignment="1">
      <alignment horizontal="center" vertical="center" wrapText="1"/>
    </xf>
    <xf numFmtId="0" fontId="103" fillId="0" borderId="14" xfId="127" applyFont="1" applyFill="1" applyBorder="1" applyAlignment="1">
      <alignment horizontal="center" vertical="center" wrapText="1"/>
    </xf>
    <xf numFmtId="0" fontId="103" fillId="0" borderId="70" xfId="127" applyFont="1" applyFill="1" applyBorder="1" applyAlignment="1">
      <alignment horizontal="center" vertical="center" wrapText="1"/>
    </xf>
    <xf numFmtId="0" fontId="103" fillId="0" borderId="101" xfId="127" applyFont="1" applyFill="1" applyBorder="1" applyAlignment="1">
      <alignment horizontal="center" vertical="center" wrapText="1"/>
    </xf>
    <xf numFmtId="0" fontId="103" fillId="0" borderId="16" xfId="127" applyFont="1" applyFill="1" applyBorder="1" applyAlignment="1">
      <alignment horizontal="center" vertical="center" wrapText="1"/>
    </xf>
    <xf numFmtId="0" fontId="103" fillId="0" borderId="44" xfId="127" applyFont="1" applyFill="1" applyBorder="1" applyAlignment="1">
      <alignment horizontal="center" vertical="center" wrapText="1"/>
    </xf>
    <xf numFmtId="0" fontId="104" fillId="0" borderId="64" xfId="53" applyFont="1" applyBorder="1" applyAlignment="1">
      <alignment horizontal="center" wrapText="1"/>
    </xf>
    <xf numFmtId="0" fontId="104" fillId="0" borderId="100" xfId="53" applyFont="1" applyBorder="1" applyAlignment="1">
      <alignment horizontal="center" wrapText="1"/>
    </xf>
    <xf numFmtId="0" fontId="103" fillId="0" borderId="15" xfId="127" applyFont="1" applyFill="1" applyBorder="1" applyAlignment="1">
      <alignment horizontal="center" vertical="center" wrapText="1"/>
    </xf>
    <xf numFmtId="0" fontId="103" fillId="0" borderId="62" xfId="127" applyFont="1" applyFill="1" applyBorder="1" applyAlignment="1">
      <alignment vertical="center" wrapText="1"/>
    </xf>
    <xf numFmtId="0" fontId="103" fillId="0" borderId="17" xfId="127" applyFont="1" applyFill="1" applyBorder="1" applyAlignment="1">
      <alignment vertical="center" wrapText="1"/>
    </xf>
    <xf numFmtId="0" fontId="103" fillId="0" borderId="70" xfId="127" applyFont="1" applyFill="1" applyBorder="1" applyAlignment="1">
      <alignment vertical="center" wrapText="1"/>
    </xf>
    <xf numFmtId="0" fontId="103" fillId="0" borderId="15" xfId="127" applyFont="1" applyFill="1" applyBorder="1" applyAlignment="1">
      <alignment vertical="center" wrapText="1"/>
    </xf>
    <xf numFmtId="0" fontId="103" fillId="0" borderId="69" xfId="127" applyFont="1" applyFill="1" applyBorder="1" applyAlignment="1">
      <alignment vertical="center" wrapText="1"/>
    </xf>
    <xf numFmtId="0" fontId="118" fillId="0" borderId="102" xfId="53" applyFont="1" applyFill="1" applyBorder="1" applyAlignment="1">
      <alignment horizontal="right" vertical="center" wrapText="1"/>
    </xf>
    <xf numFmtId="0" fontId="116" fillId="0" borderId="103" xfId="53" applyFont="1" applyBorder="1" applyAlignment="1">
      <alignment horizontal="left" vertical="top" wrapText="1"/>
    </xf>
    <xf numFmtId="0" fontId="116" fillId="0" borderId="104" xfId="53" applyFont="1" applyBorder="1" applyAlignment="1">
      <alignment horizontal="left" vertical="top" wrapText="1"/>
    </xf>
    <xf numFmtId="0" fontId="116" fillId="0" borderId="100" xfId="53" applyFont="1" applyFill="1" applyBorder="1" applyAlignment="1">
      <alignment horizontal="left" vertical="center" wrapText="1"/>
    </xf>
    <xf numFmtId="0" fontId="117" fillId="0" borderId="46" xfId="127" applyFont="1" applyFill="1" applyBorder="1" applyAlignment="1">
      <alignment horizontal="left" vertical="center" wrapText="1"/>
    </xf>
    <xf numFmtId="0" fontId="117" fillId="0" borderId="102" xfId="127" applyFont="1" applyFill="1" applyBorder="1" applyAlignment="1">
      <alignment horizontal="left" vertical="center"/>
    </xf>
    <xf numFmtId="0" fontId="117" fillId="0" borderId="50" xfId="127" applyFont="1" applyFill="1" applyBorder="1" applyAlignment="1">
      <alignment horizontal="left" vertical="center"/>
    </xf>
    <xf numFmtId="0" fontId="117" fillId="0" borderId="102" xfId="127" applyFont="1" applyFill="1" applyBorder="1" applyAlignment="1">
      <alignment horizontal="left" vertical="center" wrapText="1"/>
    </xf>
    <xf numFmtId="0" fontId="117" fillId="0" borderId="50" xfId="127" applyFont="1" applyFill="1" applyBorder="1" applyAlignment="1">
      <alignment horizontal="left" vertical="center" wrapText="1"/>
    </xf>
    <xf numFmtId="0" fontId="116" fillId="0" borderId="105" xfId="53" applyFont="1" applyBorder="1" applyAlignment="1">
      <alignment horizontal="left" wrapText="1"/>
    </xf>
    <xf numFmtId="0" fontId="116" fillId="0" borderId="106" xfId="53" applyFont="1" applyBorder="1" applyAlignment="1">
      <alignment horizontal="left" wrapText="1"/>
    </xf>
    <xf numFmtId="0" fontId="103" fillId="0" borderId="67" xfId="127" applyFont="1" applyFill="1" applyBorder="1" applyAlignment="1">
      <alignment vertical="center" wrapText="1"/>
    </xf>
    <xf numFmtId="0" fontId="103" fillId="0" borderId="44" xfId="127" applyFont="1" applyFill="1" applyBorder="1" applyAlignment="1">
      <alignment vertical="center" wrapText="1"/>
    </xf>
    <xf numFmtId="0" fontId="94" fillId="0" borderId="107" xfId="53" applyFont="1" applyFill="1" applyBorder="1" applyAlignment="1">
      <alignment horizontal="center" vertical="center" wrapText="1"/>
    </xf>
    <xf numFmtId="0" fontId="100" fillId="0" borderId="35" xfId="53" applyFont="1" applyFill="1" applyBorder="1" applyAlignment="1">
      <alignment horizontal="center" vertical="center" wrapText="1"/>
    </xf>
    <xf numFmtId="0" fontId="100" fillId="0" borderId="107" xfId="53" applyFont="1" applyBorder="1" applyAlignment="1">
      <alignment horizontal="center" vertical="center" wrapText="1"/>
    </xf>
    <xf numFmtId="0" fontId="129" fillId="0" borderId="69" xfId="53" applyFont="1" applyBorder="1" applyAlignment="1">
      <alignment horizontal="center" vertical="center" wrapText="1"/>
    </xf>
    <xf numFmtId="0" fontId="63" fillId="0" borderId="62" xfId="53" applyFont="1" applyBorder="1" applyAlignment="1">
      <alignment horizontal="center" vertical="center" wrapText="1"/>
    </xf>
    <xf numFmtId="0" fontId="94" fillId="0" borderId="14" xfId="53" applyFont="1" applyBorder="1" applyAlignment="1">
      <alignment horizontal="center" vertical="center" wrapText="1"/>
    </xf>
    <xf numFmtId="0" fontId="100" fillId="0" borderId="35" xfId="53" applyFont="1" applyBorder="1" applyAlignment="1">
      <alignment horizontal="center" vertical="center" wrapText="1"/>
    </xf>
    <xf numFmtId="0" fontId="131" fillId="0" borderId="69" xfId="127" applyFont="1" applyFill="1" applyBorder="1" applyAlignment="1">
      <alignment horizontal="center" vertical="center" wrapText="1"/>
    </xf>
    <xf numFmtId="0" fontId="131" fillId="0" borderId="17" xfId="127" applyFont="1" applyFill="1" applyBorder="1" applyAlignment="1">
      <alignment horizontal="center" vertical="center" wrapText="1"/>
    </xf>
    <xf numFmtId="0" fontId="129" fillId="0" borderId="70" xfId="53" applyFont="1" applyFill="1" applyBorder="1" applyAlignment="1">
      <alignment horizontal="center" vertical="center" wrapText="1"/>
    </xf>
    <xf numFmtId="0" fontId="67" fillId="0" borderId="101" xfId="53" applyFont="1" applyFill="1" applyBorder="1" applyAlignment="1">
      <alignment horizontal="center" vertical="center" wrapText="1"/>
    </xf>
    <xf numFmtId="0" fontId="115" fillId="37" borderId="84" xfId="127" applyFont="1" applyFill="1" applyBorder="1" applyAlignment="1">
      <alignment horizontal="center" vertical="center" wrapText="1"/>
    </xf>
    <xf numFmtId="0" fontId="115" fillId="37" borderId="69" xfId="127" applyFont="1" applyFill="1" applyBorder="1" applyAlignment="1">
      <alignment horizontal="center" vertical="center" wrapText="1"/>
    </xf>
    <xf numFmtId="0" fontId="115" fillId="37" borderId="17" xfId="127" applyFont="1" applyFill="1" applyBorder="1" applyAlignment="1">
      <alignment horizontal="center" vertical="center" wrapText="1"/>
    </xf>
    <xf numFmtId="0" fontId="115" fillId="37" borderId="14" xfId="127" applyFont="1" applyFill="1" applyBorder="1" applyAlignment="1">
      <alignment horizontal="center" vertical="center" wrapText="1"/>
    </xf>
    <xf numFmtId="0" fontId="115" fillId="37" borderId="70" xfId="127" applyFont="1" applyFill="1" applyBorder="1" applyAlignment="1">
      <alignment horizontal="center" vertical="center" wrapText="1"/>
    </xf>
    <xf numFmtId="0" fontId="115" fillId="37" borderId="16" xfId="127" applyFont="1" applyFill="1" applyBorder="1" applyAlignment="1">
      <alignment horizontal="center" vertical="center" wrapText="1"/>
    </xf>
    <xf numFmtId="0" fontId="115" fillId="37" borderId="16" xfId="127" applyFont="1" applyFill="1" applyBorder="1" applyAlignment="1">
      <alignment horizontal="center" wrapText="1"/>
    </xf>
    <xf numFmtId="0" fontId="115" fillId="37" borderId="17" xfId="127" applyFont="1" applyFill="1" applyBorder="1" applyAlignment="1">
      <alignment horizontal="center" wrapText="1"/>
    </xf>
    <xf numFmtId="0" fontId="115" fillId="37" borderId="14" xfId="127" applyFont="1" applyFill="1" applyBorder="1" applyAlignment="1">
      <alignment horizontal="center" wrapText="1"/>
    </xf>
    <xf numFmtId="0" fontId="115" fillId="37" borderId="70" xfId="127" applyFont="1" applyFill="1" applyBorder="1" applyAlignment="1">
      <alignment horizontal="center" wrapText="1"/>
    </xf>
    <xf numFmtId="0" fontId="115" fillId="37" borderId="69" xfId="127" applyFont="1" applyFill="1" applyBorder="1" applyAlignment="1">
      <alignment horizontal="center" wrapText="1"/>
    </xf>
    <xf numFmtId="0" fontId="67" fillId="36" borderId="101" xfId="53" applyFont="1" applyFill="1" applyBorder="1" applyAlignment="1">
      <alignment horizontal="center" vertical="center" wrapText="1"/>
    </xf>
    <xf numFmtId="0" fontId="94" fillId="37" borderId="14" xfId="53" applyFont="1" applyFill="1" applyBorder="1" applyAlignment="1" applyProtection="1">
      <alignment horizontal="center" vertical="center" wrapText="1"/>
      <protection locked="0"/>
    </xf>
    <xf numFmtId="0" fontId="115" fillId="37" borderId="15" xfId="127" applyFont="1" applyFill="1" applyBorder="1" applyAlignment="1">
      <alignment horizontal="center" vertical="center" wrapText="1"/>
    </xf>
    <xf numFmtId="0" fontId="115" fillId="37" borderId="83" xfId="127" applyFont="1" applyFill="1" applyBorder="1" applyAlignment="1">
      <alignment horizontal="center" vertical="center" wrapText="1"/>
    </xf>
    <xf numFmtId="0" fontId="115" fillId="34" borderId="84" xfId="127" applyFont="1" applyFill="1" applyBorder="1" applyAlignment="1">
      <alignment horizontal="center" vertical="center" wrapText="1"/>
    </xf>
    <xf numFmtId="0" fontId="115" fillId="34" borderId="70" xfId="127" applyFont="1" applyFill="1" applyBorder="1" applyAlignment="1">
      <alignment horizontal="center" vertical="center" wrapText="1"/>
    </xf>
    <xf numFmtId="0" fontId="94" fillId="34" borderId="17" xfId="53" applyFont="1" applyFill="1" applyBorder="1" applyAlignment="1">
      <alignment horizontal="center" vertical="center" wrapText="1"/>
    </xf>
    <xf numFmtId="0" fontId="63" fillId="0" borderId="101" xfId="53" applyFont="1" applyFill="1" applyBorder="1" applyAlignment="1" applyProtection="1">
      <alignment horizontal="left" vertical="center" wrapText="1"/>
      <protection locked="0"/>
    </xf>
    <xf numFmtId="0" fontId="63" fillId="34" borderId="15" xfId="53" applyFont="1" applyFill="1" applyBorder="1" applyAlignment="1" applyProtection="1">
      <alignment horizontal="left" vertical="center" wrapText="1"/>
      <protection locked="0"/>
    </xf>
    <xf numFmtId="0" fontId="115" fillId="34" borderId="69" xfId="127" applyFont="1" applyFill="1" applyBorder="1" applyAlignment="1">
      <alignment horizontal="center" vertical="center" wrapText="1"/>
    </xf>
    <xf numFmtId="0" fontId="115" fillId="34" borderId="17" xfId="127" applyFont="1" applyFill="1" applyBorder="1" applyAlignment="1">
      <alignment horizontal="center" vertical="center" wrapText="1"/>
    </xf>
    <xf numFmtId="0" fontId="115" fillId="34" borderId="14" xfId="127" applyFont="1" applyFill="1" applyBorder="1" applyAlignment="1">
      <alignment horizontal="center" vertical="center" wrapText="1"/>
    </xf>
    <xf numFmtId="0" fontId="115" fillId="34" borderId="15" xfId="127" applyFont="1" applyFill="1" applyBorder="1" applyAlignment="1">
      <alignment horizontal="center" vertical="center" wrapText="1"/>
    </xf>
    <xf numFmtId="0" fontId="115" fillId="34" borderId="16" xfId="127" applyFont="1" applyFill="1" applyBorder="1" applyAlignment="1">
      <alignment horizontal="center" vertical="center" wrapText="1"/>
    </xf>
    <xf numFmtId="0" fontId="94" fillId="34" borderId="16" xfId="53" applyFont="1" applyFill="1" applyBorder="1" applyAlignment="1">
      <alignment horizontal="center" vertical="center" wrapText="1"/>
    </xf>
    <xf numFmtId="0" fontId="94" fillId="34" borderId="17" xfId="53" applyFont="1" applyFill="1" applyBorder="1" applyAlignment="1">
      <alignment horizontal="left" vertical="center" wrapText="1"/>
    </xf>
    <xf numFmtId="0" fontId="94" fillId="34" borderId="0" xfId="53" applyFont="1" applyFill="1" applyAlignment="1">
      <alignment wrapText="1"/>
    </xf>
    <xf numFmtId="0" fontId="115" fillId="34" borderId="83" xfId="127" applyFont="1" applyFill="1" applyBorder="1" applyAlignment="1">
      <alignment horizontal="center" vertical="center" wrapText="1"/>
    </xf>
    <xf numFmtId="0" fontId="115" fillId="42" borderId="84" xfId="127" applyFont="1" applyFill="1" applyBorder="1" applyAlignment="1">
      <alignment horizontal="center" vertical="center" wrapText="1"/>
    </xf>
    <xf numFmtId="0" fontId="115" fillId="42" borderId="70" xfId="127" applyFont="1" applyFill="1" applyBorder="1" applyAlignment="1">
      <alignment horizontal="center" vertical="center" wrapText="1"/>
    </xf>
    <xf numFmtId="0" fontId="94" fillId="42" borderId="17" xfId="53" applyFont="1" applyFill="1" applyBorder="1" applyAlignment="1">
      <alignment horizontal="center" vertical="center" wrapText="1"/>
    </xf>
    <xf numFmtId="0" fontId="63" fillId="42" borderId="15" xfId="53" applyFont="1" applyFill="1" applyBorder="1" applyAlignment="1" applyProtection="1">
      <alignment horizontal="left" vertical="center" wrapText="1"/>
      <protection locked="0"/>
    </xf>
    <xf numFmtId="0" fontId="115" fillId="42" borderId="69" xfId="127" applyFont="1" applyFill="1" applyBorder="1" applyAlignment="1">
      <alignment horizontal="center" vertical="center" wrapText="1"/>
    </xf>
    <xf numFmtId="0" fontId="115" fillId="42" borderId="16" xfId="127" applyFont="1" applyFill="1" applyBorder="1" applyAlignment="1">
      <alignment horizontal="center" vertical="center" wrapText="1"/>
    </xf>
    <xf numFmtId="0" fontId="115" fillId="42" borderId="83" xfId="127" applyFont="1" applyFill="1" applyBorder="1" applyAlignment="1">
      <alignment horizontal="center" vertical="center" wrapText="1"/>
    </xf>
    <xf numFmtId="0" fontId="94" fillId="42" borderId="16" xfId="53" applyFont="1" applyFill="1" applyBorder="1" applyAlignment="1">
      <alignment horizontal="center" vertical="center" wrapText="1"/>
    </xf>
    <xf numFmtId="0" fontId="94" fillId="42" borderId="17" xfId="53" applyFont="1" applyFill="1" applyBorder="1" applyAlignment="1">
      <alignment horizontal="left" vertical="center" wrapText="1"/>
    </xf>
    <xf numFmtId="0" fontId="63" fillId="42" borderId="0" xfId="53" applyFont="1" applyFill="1" applyAlignment="1">
      <alignment wrapText="1"/>
    </xf>
    <xf numFmtId="0" fontId="94" fillId="42" borderId="0" xfId="53" applyFont="1" applyFill="1" applyAlignment="1">
      <alignment wrapText="1"/>
    </xf>
    <xf numFmtId="0" fontId="115" fillId="43" borderId="84" xfId="127" applyFont="1" applyFill="1" applyBorder="1" applyAlignment="1">
      <alignment horizontal="center" vertical="center" wrapText="1"/>
    </xf>
    <xf numFmtId="0" fontId="94" fillId="43" borderId="17" xfId="53" applyFont="1" applyFill="1" applyBorder="1" applyAlignment="1" applyProtection="1">
      <alignment vertical="center" wrapText="1"/>
      <protection locked="0"/>
    </xf>
    <xf numFmtId="0" fontId="115" fillId="43" borderId="70" xfId="127" applyFont="1" applyFill="1" applyBorder="1" applyAlignment="1">
      <alignment horizontal="center" vertical="center" wrapText="1"/>
    </xf>
    <xf numFmtId="0" fontId="94" fillId="43" borderId="17" xfId="53" applyFont="1" applyFill="1" applyBorder="1" applyAlignment="1">
      <alignment horizontal="center" vertical="center" wrapText="1"/>
    </xf>
    <xf numFmtId="0" fontId="63" fillId="43" borderId="15" xfId="53" applyFont="1" applyFill="1" applyBorder="1" applyAlignment="1" applyProtection="1">
      <alignment horizontal="left" vertical="center" wrapText="1"/>
      <protection locked="0"/>
    </xf>
    <xf numFmtId="0" fontId="115" fillId="43" borderId="69" xfId="127" applyFont="1" applyFill="1" applyBorder="1" applyAlignment="1">
      <alignment horizontal="center" vertical="center" wrapText="1"/>
    </xf>
    <xf numFmtId="0" fontId="115" fillId="43" borderId="16" xfId="127" applyFont="1" applyFill="1" applyBorder="1" applyAlignment="1">
      <alignment horizontal="center" vertical="center" wrapText="1"/>
    </xf>
    <xf numFmtId="0" fontId="115" fillId="43" borderId="83" xfId="127" applyFont="1" applyFill="1" applyBorder="1" applyAlignment="1">
      <alignment horizontal="center" vertical="center" wrapText="1"/>
    </xf>
    <xf numFmtId="0" fontId="94" fillId="43" borderId="16" xfId="53" applyFont="1" applyFill="1" applyBorder="1" applyAlignment="1">
      <alignment horizontal="center" vertical="center" wrapText="1"/>
    </xf>
    <xf numFmtId="0" fontId="116" fillId="43" borderId="16" xfId="53" applyFont="1" applyFill="1" applyBorder="1" applyAlignment="1">
      <alignment vertical="center" wrapText="1"/>
    </xf>
    <xf numFmtId="0" fontId="94" fillId="43" borderId="17" xfId="53" applyFont="1" applyFill="1" applyBorder="1" applyAlignment="1">
      <alignment horizontal="left" vertical="center" wrapText="1"/>
    </xf>
    <xf numFmtId="0" fontId="63" fillId="43" borderId="0" xfId="53" applyFont="1" applyFill="1" applyAlignment="1">
      <alignment wrapText="1"/>
    </xf>
    <xf numFmtId="0" fontId="94" fillId="43" borderId="0" xfId="53" applyFont="1" applyFill="1" applyAlignment="1">
      <alignment wrapText="1"/>
    </xf>
    <xf numFmtId="0" fontId="115" fillId="44" borderId="84" xfId="127" applyFont="1" applyFill="1" applyBorder="1" applyAlignment="1">
      <alignment horizontal="center" vertical="center" wrapText="1"/>
    </xf>
    <xf numFmtId="0" fontId="115" fillId="44" borderId="70" xfId="127" applyFont="1" applyFill="1" applyBorder="1" applyAlignment="1">
      <alignment horizontal="center" vertical="center" wrapText="1"/>
    </xf>
    <xf numFmtId="0" fontId="94" fillId="44" borderId="17" xfId="53" applyFont="1" applyFill="1" applyBorder="1" applyAlignment="1">
      <alignment horizontal="center" vertical="center" wrapText="1"/>
    </xf>
    <xf numFmtId="0" fontId="94" fillId="44" borderId="17" xfId="53" applyFont="1" applyFill="1" applyBorder="1" applyAlignment="1">
      <alignment wrapText="1"/>
    </xf>
    <xf numFmtId="0" fontId="63" fillId="44" borderId="15" xfId="53" applyFont="1" applyFill="1" applyBorder="1" applyAlignment="1" applyProtection="1">
      <alignment horizontal="left" vertical="center" wrapText="1"/>
      <protection locked="0"/>
    </xf>
    <xf numFmtId="0" fontId="115" fillId="44" borderId="69" xfId="127" applyFont="1" applyFill="1" applyBorder="1" applyAlignment="1">
      <alignment horizontal="center" vertical="center" wrapText="1"/>
    </xf>
    <xf numFmtId="0" fontId="115" fillId="44" borderId="16" xfId="127" applyFont="1" applyFill="1" applyBorder="1" applyAlignment="1">
      <alignment horizontal="center" vertical="center" wrapText="1"/>
    </xf>
    <xf numFmtId="0" fontId="115" fillId="44" borderId="83" xfId="127" applyFont="1" applyFill="1" applyBorder="1" applyAlignment="1">
      <alignment horizontal="center" vertical="center" wrapText="1"/>
    </xf>
    <xf numFmtId="0" fontId="94" fillId="44" borderId="16" xfId="53" applyFont="1" applyFill="1" applyBorder="1" applyAlignment="1">
      <alignment horizontal="center" vertical="center" wrapText="1"/>
    </xf>
    <xf numFmtId="0" fontId="116" fillId="44" borderId="16" xfId="53" applyFont="1" applyFill="1" applyBorder="1" applyAlignment="1">
      <alignment vertical="center" wrapText="1"/>
    </xf>
    <xf numFmtId="0" fontId="116" fillId="44" borderId="17" xfId="53" applyFont="1" applyFill="1" applyBorder="1" applyAlignment="1">
      <alignment vertical="center" wrapText="1"/>
    </xf>
    <xf numFmtId="0" fontId="94" fillId="44" borderId="17" xfId="53" applyFont="1" applyFill="1" applyBorder="1" applyAlignment="1">
      <alignment horizontal="left" vertical="center" wrapText="1"/>
    </xf>
    <xf numFmtId="0" fontId="63" fillId="44" borderId="0" xfId="53" applyFont="1" applyFill="1" applyAlignment="1">
      <alignment wrapText="1"/>
    </xf>
    <xf numFmtId="0" fontId="94" fillId="44" borderId="0" xfId="53" applyFont="1" applyFill="1" applyAlignment="1">
      <alignment wrapText="1"/>
    </xf>
    <xf numFmtId="0" fontId="115" fillId="35" borderId="84" xfId="127" applyFont="1" applyFill="1" applyBorder="1" applyAlignment="1">
      <alignment horizontal="center" vertical="center" wrapText="1"/>
    </xf>
    <xf numFmtId="0" fontId="115" fillId="35" borderId="70" xfId="127" applyFont="1" applyFill="1" applyBorder="1" applyAlignment="1">
      <alignment horizontal="center" vertical="center" wrapText="1"/>
    </xf>
    <xf numFmtId="0" fontId="63" fillId="35" borderId="63" xfId="53" applyFont="1" applyFill="1" applyBorder="1" applyAlignment="1" applyProtection="1">
      <alignment horizontal="left" vertical="center" wrapText="1"/>
      <protection locked="0"/>
    </xf>
    <xf numFmtId="0" fontId="94" fillId="35" borderId="17" xfId="53" applyFont="1" applyFill="1" applyBorder="1" applyAlignment="1">
      <alignment wrapText="1"/>
    </xf>
    <xf numFmtId="0" fontId="63" fillId="35" borderId="15" xfId="53" applyFont="1" applyFill="1" applyBorder="1" applyAlignment="1" applyProtection="1">
      <alignment horizontal="left" vertical="center" wrapText="1"/>
      <protection locked="0"/>
    </xf>
    <xf numFmtId="0" fontId="115" fillId="35" borderId="69" xfId="127" applyFont="1" applyFill="1" applyBorder="1" applyAlignment="1">
      <alignment horizontal="center" vertical="center" wrapText="1"/>
    </xf>
    <xf numFmtId="0" fontId="115" fillId="35" borderId="16" xfId="127" applyFont="1" applyFill="1" applyBorder="1" applyAlignment="1">
      <alignment horizontal="center" vertical="center" wrapText="1"/>
    </xf>
    <xf numFmtId="0" fontId="115" fillId="35" borderId="83" xfId="127" applyFont="1" applyFill="1" applyBorder="1" applyAlignment="1">
      <alignment horizontal="center" vertical="center" wrapText="1"/>
    </xf>
    <xf numFmtId="0" fontId="94" fillId="35" borderId="16" xfId="53" applyFont="1" applyFill="1" applyBorder="1" applyAlignment="1">
      <alignment horizontal="center" vertical="center" wrapText="1"/>
    </xf>
    <xf numFmtId="0" fontId="116" fillId="35" borderId="16" xfId="53" applyFont="1" applyFill="1" applyBorder="1" applyAlignment="1">
      <alignment vertical="center" wrapText="1"/>
    </xf>
    <xf numFmtId="0" fontId="116" fillId="35" borderId="17" xfId="53" applyFont="1" applyFill="1" applyBorder="1" applyAlignment="1">
      <alignment vertical="center" wrapText="1"/>
    </xf>
    <xf numFmtId="0" fontId="94" fillId="35" borderId="17" xfId="53" applyFont="1" applyFill="1" applyBorder="1" applyAlignment="1">
      <alignment horizontal="left" vertical="center" wrapText="1"/>
    </xf>
    <xf numFmtId="0" fontId="63" fillId="35" borderId="17" xfId="53" applyFont="1" applyFill="1" applyBorder="1" applyAlignment="1">
      <alignment horizontal="left" vertical="center" wrapText="1"/>
    </xf>
    <xf numFmtId="0" fontId="63" fillId="35" borderId="0" xfId="53" applyFont="1" applyFill="1" applyAlignment="1">
      <alignment wrapText="1"/>
    </xf>
    <xf numFmtId="0" fontId="94" fillId="35" borderId="0" xfId="53" applyFont="1" applyFill="1" applyAlignment="1">
      <alignment wrapText="1"/>
    </xf>
    <xf numFmtId="0" fontId="63" fillId="45" borderId="14" xfId="53" applyFont="1" applyFill="1" applyBorder="1" applyAlignment="1" applyProtection="1">
      <alignment horizontal="left" vertical="center" wrapText="1"/>
      <protection locked="0"/>
    </xf>
    <xf numFmtId="0" fontId="115" fillId="45" borderId="84" xfId="127" applyFont="1" applyFill="1" applyBorder="1" applyAlignment="1">
      <alignment horizontal="center" vertical="center" wrapText="1"/>
    </xf>
    <xf numFmtId="0" fontId="115" fillId="45" borderId="70" xfId="127" applyFont="1" applyFill="1" applyBorder="1" applyAlignment="1">
      <alignment horizontal="center" vertical="center" wrapText="1"/>
    </xf>
    <xf numFmtId="0" fontId="94" fillId="45" borderId="17" xfId="53" applyFont="1" applyFill="1" applyBorder="1" applyAlignment="1">
      <alignment horizontal="center" vertical="center" wrapText="1"/>
    </xf>
    <xf numFmtId="0" fontId="94" fillId="45" borderId="17" xfId="53" applyFont="1" applyFill="1" applyBorder="1" applyAlignment="1">
      <alignment wrapText="1"/>
    </xf>
    <xf numFmtId="0" fontId="63" fillId="45" borderId="15" xfId="53" applyFont="1" applyFill="1" applyBorder="1" applyAlignment="1" applyProtection="1">
      <alignment horizontal="left" vertical="center" wrapText="1"/>
      <protection locked="0"/>
    </xf>
    <xf numFmtId="0" fontId="115" fillId="45" borderId="69" xfId="127" applyFont="1" applyFill="1" applyBorder="1" applyAlignment="1">
      <alignment horizontal="center" vertical="center" wrapText="1"/>
    </xf>
    <xf numFmtId="0" fontId="115" fillId="45" borderId="16" xfId="127" applyFont="1" applyFill="1" applyBorder="1" applyAlignment="1">
      <alignment horizontal="center" vertical="center" wrapText="1"/>
    </xf>
    <xf numFmtId="0" fontId="115" fillId="45" borderId="83" xfId="127" applyFont="1" applyFill="1" applyBorder="1" applyAlignment="1">
      <alignment horizontal="center" vertical="center" wrapText="1"/>
    </xf>
    <xf numFmtId="0" fontId="94" fillId="45" borderId="16" xfId="53" applyFont="1" applyFill="1" applyBorder="1" applyAlignment="1">
      <alignment horizontal="center" vertical="center" wrapText="1"/>
    </xf>
    <xf numFmtId="0" fontId="116" fillId="45" borderId="16" xfId="53" applyFont="1" applyFill="1" applyBorder="1" applyAlignment="1">
      <alignment vertical="center" wrapText="1"/>
    </xf>
    <xf numFmtId="0" fontId="94" fillId="45" borderId="17" xfId="53" applyFont="1" applyFill="1" applyBorder="1" applyAlignment="1">
      <alignment horizontal="left" vertical="center" wrapText="1"/>
    </xf>
    <xf numFmtId="0" fontId="63" fillId="45" borderId="17" xfId="53" applyFont="1" applyFill="1" applyBorder="1" applyAlignment="1">
      <alignment horizontal="left" vertical="center" wrapText="1"/>
    </xf>
    <xf numFmtId="0" fontId="63" fillId="45" borderId="0" xfId="53" applyFont="1" applyFill="1" applyAlignment="1">
      <alignment wrapText="1"/>
    </xf>
    <xf numFmtId="0" fontId="94" fillId="45" borderId="0" xfId="53" applyFont="1" applyFill="1" applyAlignment="1">
      <alignment wrapText="1"/>
    </xf>
    <xf numFmtId="0" fontId="115" fillId="34" borderId="108" xfId="127" applyFont="1" applyFill="1" applyBorder="1" applyAlignment="1">
      <alignment horizontal="center" vertical="center" wrapText="1"/>
    </xf>
    <xf numFmtId="0" fontId="115" fillId="34" borderId="109" xfId="127" applyFont="1" applyFill="1" applyBorder="1" applyAlignment="1">
      <alignment horizontal="center" vertical="center" wrapText="1"/>
    </xf>
    <xf numFmtId="0" fontId="94" fillId="34" borderId="110" xfId="53" applyFont="1" applyFill="1" applyBorder="1" applyAlignment="1" applyProtection="1">
      <alignment horizontal="center" vertical="center" wrapText="1"/>
      <protection locked="0"/>
    </xf>
    <xf numFmtId="0" fontId="94" fillId="34" borderId="111" xfId="53" applyFont="1" applyFill="1" applyBorder="1" applyAlignment="1" applyProtection="1">
      <alignment horizontal="center" vertical="center" wrapText="1"/>
      <protection locked="0"/>
    </xf>
    <xf numFmtId="0" fontId="94" fillId="34" borderId="108" xfId="53" applyFont="1" applyFill="1" applyBorder="1" applyAlignment="1" applyProtection="1">
      <alignment horizontal="center" vertical="center" wrapText="1"/>
      <protection locked="0"/>
    </xf>
    <xf numFmtId="0" fontId="115" fillId="34" borderId="77" xfId="127" applyFont="1" applyFill="1" applyBorder="1" applyAlignment="1">
      <alignment horizontal="center" vertical="center" wrapText="1"/>
    </xf>
    <xf numFmtId="0" fontId="115" fillId="34" borderId="62" xfId="127" applyFont="1" applyFill="1" applyBorder="1" applyAlignment="1">
      <alignment horizontal="center" vertical="center" wrapText="1"/>
    </xf>
    <xf numFmtId="0" fontId="63" fillId="0" borderId="112" xfId="53" applyFont="1" applyFill="1" applyBorder="1" applyAlignment="1" applyProtection="1">
      <alignment horizontal="left" vertical="center" wrapText="1"/>
      <protection locked="0"/>
    </xf>
    <xf numFmtId="0" fontId="63" fillId="0" borderId="0" xfId="53" applyFont="1" applyFill="1" applyAlignment="1">
      <alignment vertical="top" wrapText="1"/>
    </xf>
    <xf numFmtId="0" fontId="114" fillId="0" borderId="0" xfId="61" applyFont="1" applyFill="1" applyBorder="1" applyAlignment="1">
      <alignment horizontal="left" vertical="center"/>
    </xf>
    <xf numFmtId="0" fontId="67" fillId="0" borderId="98" xfId="53" applyFont="1" applyFill="1" applyBorder="1" applyAlignment="1">
      <alignment horizontal="center" vertical="center" wrapText="1"/>
    </xf>
    <xf numFmtId="0" fontId="115" fillId="43" borderId="98" xfId="127" applyFont="1" applyFill="1" applyBorder="1" applyAlignment="1">
      <alignment horizontal="center" vertical="center" wrapText="1"/>
    </xf>
    <xf numFmtId="0" fontId="115" fillId="43" borderId="17" xfId="127" applyFont="1" applyFill="1" applyBorder="1" applyAlignment="1">
      <alignment horizontal="center" vertical="center" wrapText="1"/>
    </xf>
    <xf numFmtId="0" fontId="115" fillId="43" borderId="101" xfId="127" applyFont="1" applyFill="1" applyBorder="1" applyAlignment="1">
      <alignment horizontal="center" vertical="center" wrapText="1"/>
    </xf>
    <xf numFmtId="0" fontId="67" fillId="0" borderId="112" xfId="53" applyFont="1" applyFill="1" applyBorder="1" applyAlignment="1">
      <alignment horizontal="center" vertical="center" wrapText="1"/>
    </xf>
    <xf numFmtId="0" fontId="115" fillId="43" borderId="112" xfId="127" applyFont="1" applyFill="1" applyBorder="1" applyAlignment="1">
      <alignment horizontal="center" vertical="center" wrapText="1"/>
    </xf>
    <xf numFmtId="0" fontId="63" fillId="43" borderId="35" xfId="53" applyFont="1" applyFill="1" applyBorder="1" applyAlignment="1" applyProtection="1">
      <alignment horizontal="left" vertical="center" wrapText="1"/>
      <protection locked="0"/>
    </xf>
    <xf numFmtId="0" fontId="115" fillId="43" borderId="77" xfId="127" applyFont="1" applyFill="1" applyBorder="1" applyAlignment="1">
      <alignment horizontal="center" vertical="center" wrapText="1"/>
    </xf>
    <xf numFmtId="0" fontId="94" fillId="40" borderId="17" xfId="53" applyFont="1" applyFill="1" applyBorder="1" applyAlignment="1">
      <alignment horizontal="center" vertical="center" wrapText="1"/>
    </xf>
    <xf numFmtId="0" fontId="94" fillId="40" borderId="17" xfId="53" applyFont="1" applyFill="1" applyBorder="1" applyAlignment="1">
      <alignment wrapText="1"/>
    </xf>
    <xf numFmtId="0" fontId="63" fillId="40" borderId="14" xfId="53" applyFont="1" applyFill="1" applyBorder="1" applyAlignment="1" applyProtection="1">
      <alignment horizontal="left" vertical="center" wrapText="1"/>
      <protection locked="0"/>
    </xf>
    <xf numFmtId="0" fontId="63" fillId="40" borderId="15" xfId="53" applyFont="1" applyFill="1" applyBorder="1" applyAlignment="1" applyProtection="1">
      <alignment horizontal="left" vertical="center" wrapText="1"/>
      <protection locked="0"/>
    </xf>
    <xf numFmtId="0" fontId="115" fillId="40" borderId="69" xfId="127" applyFont="1" applyFill="1" applyBorder="1" applyAlignment="1">
      <alignment horizontal="center" vertical="center" wrapText="1"/>
    </xf>
    <xf numFmtId="0" fontId="94" fillId="40" borderId="16" xfId="53" applyFont="1" applyFill="1" applyBorder="1" applyAlignment="1">
      <alignment horizontal="center" vertical="center" wrapText="1"/>
    </xf>
    <xf numFmtId="0" fontId="116" fillId="40" borderId="16" xfId="53" applyFont="1" applyFill="1" applyBorder="1" applyAlignment="1">
      <alignment vertical="center" wrapText="1"/>
    </xf>
    <xf numFmtId="0" fontId="116" fillId="40" borderId="17" xfId="53" applyFont="1" applyFill="1" applyBorder="1" applyAlignment="1">
      <alignment vertical="center" wrapText="1"/>
    </xf>
    <xf numFmtId="0" fontId="94" fillId="40" borderId="17" xfId="53" applyFont="1" applyFill="1" applyBorder="1" applyAlignment="1">
      <alignment horizontal="left" vertical="center" wrapText="1"/>
    </xf>
    <xf numFmtId="0" fontId="63" fillId="40" borderId="17" xfId="53" applyFont="1" applyFill="1" applyBorder="1" applyAlignment="1">
      <alignment horizontal="left" vertical="center" wrapText="1"/>
    </xf>
    <xf numFmtId="0" fontId="63" fillId="0" borderId="17" xfId="53" applyFont="1" applyBorder="1" applyAlignment="1">
      <alignment horizontal="center" vertical="center" wrapText="1"/>
    </xf>
    <xf numFmtId="0" fontId="94" fillId="37" borderId="17" xfId="53" applyFont="1" applyFill="1" applyBorder="1" applyAlignment="1">
      <alignment horizontal="center" vertical="center" wrapText="1"/>
    </xf>
    <xf numFmtId="0" fontId="94" fillId="37" borderId="17" xfId="53" applyFont="1" applyFill="1" applyBorder="1" applyAlignment="1" applyProtection="1">
      <alignment horizontal="left" vertical="center" wrapText="1"/>
      <protection locked="0"/>
    </xf>
    <xf numFmtId="0" fontId="94" fillId="34" borderId="17" xfId="53" applyFont="1" applyFill="1" applyBorder="1" applyAlignment="1" applyProtection="1">
      <alignment horizontal="left" vertical="center" wrapText="1"/>
      <protection locked="0"/>
    </xf>
    <xf numFmtId="0" fontId="94" fillId="43" borderId="17" xfId="53" applyFont="1" applyFill="1" applyBorder="1" applyAlignment="1" applyProtection="1">
      <alignment horizontal="left" vertical="center" wrapText="1"/>
      <protection locked="0"/>
    </xf>
    <xf numFmtId="0" fontId="94" fillId="34" borderId="45" xfId="53" applyFont="1" applyFill="1" applyBorder="1" applyAlignment="1" applyProtection="1">
      <alignment horizontal="left" vertical="center" wrapText="1"/>
      <protection locked="0"/>
    </xf>
    <xf numFmtId="0" fontId="94" fillId="43" borderId="17" xfId="53" applyFont="1" applyFill="1" applyBorder="1" applyAlignment="1" applyProtection="1">
      <alignment horizontal="center" vertical="center" wrapText="1"/>
      <protection locked="0"/>
    </xf>
    <xf numFmtId="0" fontId="116" fillId="43" borderId="17" xfId="53" applyFont="1" applyFill="1" applyBorder="1" applyAlignment="1" applyProtection="1">
      <alignment vertical="center" wrapText="1"/>
      <protection locked="0"/>
    </xf>
    <xf numFmtId="0" fontId="94" fillId="44" borderId="17" xfId="53" applyFont="1" applyFill="1" applyBorder="1" applyAlignment="1" applyProtection="1">
      <alignment horizontal="left" vertical="center" wrapText="1"/>
      <protection locked="0"/>
    </xf>
    <xf numFmtId="0" fontId="116" fillId="44" borderId="17" xfId="53" applyFont="1" applyFill="1" applyBorder="1" applyAlignment="1" applyProtection="1">
      <alignment vertical="center" wrapText="1"/>
      <protection locked="0"/>
    </xf>
    <xf numFmtId="0" fontId="116" fillId="35" borderId="43" xfId="53" applyFont="1" applyFill="1" applyBorder="1" applyAlignment="1" applyProtection="1">
      <alignment vertical="center" wrapText="1"/>
      <protection locked="0"/>
    </xf>
    <xf numFmtId="0" fontId="116" fillId="0" borderId="73" xfId="53" applyFont="1" applyFill="1" applyBorder="1" applyAlignment="1">
      <alignment horizontal="center" vertical="center" wrapText="1"/>
    </xf>
    <xf numFmtId="0" fontId="116" fillId="0" borderId="0" xfId="53" applyFont="1" applyFill="1" applyBorder="1" applyAlignment="1">
      <alignment horizontal="center" vertical="center" wrapText="1"/>
    </xf>
    <xf numFmtId="0" fontId="116" fillId="0" borderId="0" xfId="53" applyFont="1" applyFill="1" applyBorder="1" applyAlignment="1">
      <alignment horizontal="left" vertical="center" wrapText="1"/>
    </xf>
    <xf numFmtId="0" fontId="116" fillId="0" borderId="66" xfId="53" applyFont="1" applyBorder="1" applyAlignment="1">
      <alignment horizontal="left" wrapText="1"/>
    </xf>
    <xf numFmtId="0" fontId="116" fillId="0" borderId="66" xfId="53" applyFont="1" applyFill="1" applyBorder="1" applyAlignment="1">
      <alignment horizontal="left" vertical="center" wrapText="1"/>
    </xf>
    <xf numFmtId="0" fontId="116" fillId="0" borderId="88" xfId="53" applyFont="1" applyFill="1" applyBorder="1" applyAlignment="1">
      <alignment horizontal="center" vertical="center" wrapText="1"/>
    </xf>
    <xf numFmtId="0" fontId="116" fillId="0" borderId="35" xfId="53" applyFont="1" applyFill="1" applyBorder="1" applyAlignment="1">
      <alignment horizontal="center" vertical="center" wrapText="1"/>
    </xf>
    <xf numFmtId="0" fontId="116" fillId="0" borderId="65" xfId="53" applyFont="1" applyBorder="1" applyAlignment="1">
      <alignment horizontal="left" vertical="top" wrapText="1"/>
    </xf>
    <xf numFmtId="0" fontId="94" fillId="0" borderId="46" xfId="53" applyFont="1" applyFill="1" applyBorder="1" applyAlignment="1">
      <alignment horizontal="center" wrapText="1"/>
    </xf>
    <xf numFmtId="0" fontId="63" fillId="0" borderId="0" xfId="53" applyFont="1" applyAlignment="1">
      <alignment horizontal="center" wrapText="1"/>
    </xf>
    <xf numFmtId="0" fontId="94" fillId="35" borderId="17" xfId="53" applyFont="1" applyFill="1" applyBorder="1" applyAlignment="1">
      <alignment horizontal="center" vertical="center" wrapText="1"/>
    </xf>
    <xf numFmtId="0" fontId="63" fillId="0" borderId="0" xfId="53" applyFont="1" applyAlignment="1">
      <alignment horizontal="left" wrapText="1"/>
    </xf>
    <xf numFmtId="0" fontId="132" fillId="0" borderId="0" xfId="53" applyFont="1" applyAlignment="1">
      <alignment wrapText="1"/>
    </xf>
    <xf numFmtId="0" fontId="63" fillId="36" borderId="0" xfId="53" applyFont="1" applyFill="1" applyAlignment="1">
      <alignment wrapText="1"/>
    </xf>
    <xf numFmtId="0" fontId="94" fillId="0" borderId="17" xfId="53" applyFont="1" applyFill="1" applyBorder="1" applyAlignment="1">
      <alignment horizontal="left" wrapText="1"/>
    </xf>
    <xf numFmtId="0" fontId="132" fillId="0" borderId="17" xfId="53" applyFont="1" applyFill="1" applyBorder="1" applyAlignment="1">
      <alignment horizontal="left" wrapText="1"/>
    </xf>
    <xf numFmtId="0" fontId="0" fillId="0" borderId="0" xfId="0" applyAlignment="1">
      <alignment horizontal="left"/>
    </xf>
    <xf numFmtId="0" fontId="63" fillId="0" borderId="17" xfId="53" applyFont="1" applyFill="1" applyBorder="1" applyAlignment="1">
      <alignment horizontal="center" wrapText="1"/>
    </xf>
    <xf numFmtId="0" fontId="63" fillId="0" borderId="17" xfId="53" applyFont="1" applyFill="1" applyBorder="1" applyAlignment="1">
      <alignment wrapText="1"/>
    </xf>
    <xf numFmtId="0" fontId="132" fillId="0" borderId="17" xfId="53" applyFont="1" applyFill="1" applyBorder="1" applyAlignment="1">
      <alignment wrapText="1"/>
    </xf>
    <xf numFmtId="0" fontId="129" fillId="0" borderId="17" xfId="53" applyFont="1" applyFill="1" applyBorder="1" applyAlignment="1">
      <alignment horizontal="center" wrapText="1"/>
    </xf>
    <xf numFmtId="168" fontId="63" fillId="0" borderId="17" xfId="53" applyNumberFormat="1" applyFont="1" applyFill="1" applyBorder="1" applyAlignment="1">
      <alignment horizontal="center" wrapText="1"/>
    </xf>
    <xf numFmtId="168" fontId="63" fillId="0" borderId="17" xfId="53" applyNumberFormat="1" applyFont="1" applyFill="1" applyBorder="1" applyAlignment="1">
      <alignment wrapText="1"/>
    </xf>
    <xf numFmtId="0" fontId="132" fillId="0" borderId="17" xfId="53" applyFont="1" applyFill="1" applyBorder="1" applyAlignment="1">
      <alignment vertical="center" wrapText="1"/>
    </xf>
    <xf numFmtId="0" fontId="63" fillId="36" borderId="17" xfId="53" applyFont="1" applyFill="1" applyBorder="1" applyAlignment="1" applyProtection="1">
      <alignment horizontal="left" vertical="center" wrapText="1"/>
      <protection locked="0"/>
    </xf>
    <xf numFmtId="0" fontId="94" fillId="0" borderId="17" xfId="53" applyFont="1" applyFill="1" applyBorder="1" applyAlignment="1" applyProtection="1">
      <alignment horizontal="left" vertical="center" wrapText="1"/>
      <protection locked="0"/>
    </xf>
    <xf numFmtId="0" fontId="94" fillId="0" borderId="17" xfId="53" applyFont="1" applyFill="1" applyBorder="1" applyAlignment="1">
      <alignment wrapText="1"/>
    </xf>
    <xf numFmtId="0" fontId="132" fillId="0" borderId="17" xfId="53" applyFont="1" applyFill="1" applyBorder="1" applyAlignment="1" applyProtection="1">
      <alignment vertical="center" wrapText="1"/>
      <protection locked="0"/>
    </xf>
    <xf numFmtId="0" fontId="133" fillId="0" borderId="17" xfId="0" applyFont="1" applyFill="1" applyBorder="1" applyAlignment="1">
      <alignment vertical="center" wrapText="1"/>
    </xf>
    <xf numFmtId="0" fontId="114" fillId="0" borderId="17" xfId="61" applyFont="1" applyFill="1" applyBorder="1" applyAlignment="1">
      <alignment horizontal="left" vertical="center" wrapText="1"/>
    </xf>
    <xf numFmtId="0" fontId="123" fillId="0" borderId="17" xfId="53" applyFont="1" applyFill="1" applyBorder="1" applyAlignment="1"/>
    <xf numFmtId="0" fontId="94" fillId="0" borderId="17" xfId="53" applyFont="1" applyFill="1" applyBorder="1" applyAlignment="1">
      <alignment vertical="center" wrapText="1"/>
    </xf>
    <xf numFmtId="0" fontId="94" fillId="0" borderId="17" xfId="53" applyFont="1" applyFill="1" applyBorder="1" applyAlignment="1">
      <alignment vertical="top" wrapText="1"/>
    </xf>
    <xf numFmtId="0" fontId="94" fillId="43" borderId="0" xfId="53" applyFont="1" applyFill="1" applyBorder="1" applyAlignment="1">
      <alignment horizontal="center" vertical="center" wrapText="1"/>
    </xf>
    <xf numFmtId="0" fontId="63" fillId="43" borderId="0" xfId="53" applyFont="1" applyFill="1" applyBorder="1" applyAlignment="1" applyProtection="1">
      <alignment horizontal="left" vertical="center" wrapText="1"/>
      <protection locked="0"/>
    </xf>
    <xf numFmtId="0" fontId="94" fillId="43" borderId="0" xfId="53" applyFont="1" applyFill="1" applyBorder="1" applyAlignment="1">
      <alignment wrapText="1"/>
    </xf>
    <xf numFmtId="0" fontId="94" fillId="40" borderId="0" xfId="53" applyFont="1" applyFill="1" applyBorder="1" applyAlignment="1">
      <alignment horizontal="center" vertical="center" wrapText="1"/>
    </xf>
    <xf numFmtId="0" fontId="94" fillId="40" borderId="0" xfId="53" applyFont="1" applyFill="1" applyBorder="1" applyAlignment="1">
      <alignment wrapText="1"/>
    </xf>
    <xf numFmtId="0" fontId="94" fillId="40" borderId="0" xfId="53" applyFont="1" applyFill="1" applyBorder="1" applyAlignment="1" applyProtection="1">
      <alignment horizontal="left" vertical="center" wrapText="1"/>
      <protection locked="0"/>
    </xf>
    <xf numFmtId="0" fontId="63" fillId="0" borderId="0" xfId="53" applyFont="1" applyAlignment="1">
      <alignment horizontal="left"/>
    </xf>
    <xf numFmtId="0" fontId="63" fillId="0" borderId="0" xfId="53" applyFont="1" applyFill="1" applyAlignment="1">
      <alignment horizontal="center" wrapText="1"/>
    </xf>
    <xf numFmtId="0" fontId="125" fillId="0" borderId="0" xfId="53" applyFont="1" applyAlignment="1">
      <alignment horizontal="center"/>
    </xf>
    <xf numFmtId="0" fontId="94" fillId="0" borderId="0" xfId="53" applyFont="1" applyAlignment="1">
      <alignment horizontal="center" wrapText="1"/>
    </xf>
    <xf numFmtId="0" fontId="116" fillId="0" borderId="0" xfId="53" applyFont="1" applyAlignment="1">
      <alignment horizontal="center" vertical="center" wrapText="1"/>
    </xf>
    <xf numFmtId="0" fontId="63" fillId="0" borderId="35" xfId="53" applyFont="1" applyBorder="1" applyAlignment="1">
      <alignment wrapText="1"/>
    </xf>
    <xf numFmtId="0" fontId="94" fillId="0" borderId="17" xfId="53" applyFont="1" applyFill="1" applyBorder="1" applyAlignment="1">
      <alignment horizontal="right" vertical="center" wrapText="1"/>
    </xf>
    <xf numFmtId="0" fontId="94" fillId="0" borderId="15" xfId="53" applyFont="1" applyFill="1" applyBorder="1" applyAlignment="1">
      <alignment horizontal="center" vertical="center" wrapText="1"/>
    </xf>
    <xf numFmtId="0" fontId="0" fillId="0" borderId="15" xfId="0" applyFill="1" applyBorder="1" applyAlignment="1">
      <alignment horizontal="center" wrapText="1"/>
    </xf>
    <xf numFmtId="0" fontId="128" fillId="0" borderId="15" xfId="0" applyFont="1" applyFill="1" applyBorder="1" applyAlignment="1">
      <alignment horizontal="center" wrapText="1"/>
    </xf>
    <xf numFmtId="0" fontId="0" fillId="0" borderId="15" xfId="0" applyFill="1" applyBorder="1" applyAlignment="1">
      <alignment horizontal="center" vertical="center" wrapText="1"/>
    </xf>
    <xf numFmtId="0" fontId="128" fillId="0" borderId="15" xfId="0" applyFont="1" applyBorder="1" applyAlignment="1">
      <alignment horizontal="center" vertical="center" wrapText="1"/>
    </xf>
    <xf numFmtId="0" fontId="128" fillId="0" borderId="15" xfId="0" applyFont="1" applyBorder="1" applyAlignment="1">
      <alignment horizontal="center" wrapText="1"/>
    </xf>
    <xf numFmtId="0" fontId="0" fillId="0" borderId="65" xfId="0" applyFill="1" applyBorder="1" applyAlignment="1">
      <alignment horizontal="center" wrapText="1"/>
    </xf>
    <xf numFmtId="0" fontId="128" fillId="0" borderId="65" xfId="0" applyFont="1" applyFill="1" applyBorder="1" applyAlignment="1">
      <alignment horizontal="center" wrapText="1"/>
    </xf>
    <xf numFmtId="0" fontId="116" fillId="0" borderId="16" xfId="53" applyFont="1" applyFill="1" applyBorder="1" applyAlignment="1">
      <alignment horizontal="center" vertical="center" wrapText="1"/>
    </xf>
    <xf numFmtId="0" fontId="123" fillId="0" borderId="17" xfId="53" applyFont="1" applyFill="1" applyBorder="1" applyAlignment="1">
      <alignment horizontal="right" vertical="center" wrapText="1"/>
    </xf>
    <xf numFmtId="0" fontId="123" fillId="43" borderId="16" xfId="53" applyFont="1" applyFill="1" applyBorder="1" applyAlignment="1">
      <alignment horizontal="center" vertical="center" wrapText="1"/>
    </xf>
    <xf numFmtId="0" fontId="123" fillId="43" borderId="15" xfId="53" applyFont="1" applyFill="1" applyBorder="1" applyAlignment="1">
      <alignment horizontal="center" vertical="center" wrapText="1"/>
    </xf>
    <xf numFmtId="0" fontId="123" fillId="0" borderId="17" xfId="53" applyFont="1" applyFill="1" applyBorder="1" applyAlignment="1">
      <alignment horizontal="center" vertical="center" wrapText="1"/>
    </xf>
    <xf numFmtId="0" fontId="123" fillId="0" borderId="16" xfId="53" applyFont="1" applyFill="1" applyBorder="1" applyAlignment="1">
      <alignment horizontal="center" vertical="center" wrapText="1"/>
    </xf>
    <xf numFmtId="0" fontId="94" fillId="43" borderId="15" xfId="53" applyFont="1" applyFill="1" applyBorder="1" applyAlignment="1">
      <alignment horizontal="center" vertical="center" wrapText="1"/>
    </xf>
    <xf numFmtId="0" fontId="104" fillId="43" borderId="69" xfId="53" applyFont="1" applyFill="1" applyBorder="1" applyAlignment="1">
      <alignment horizontal="center" vertical="center" wrapText="1"/>
    </xf>
    <xf numFmtId="0" fontId="104" fillId="43" borderId="17" xfId="53" applyFont="1" applyFill="1" applyBorder="1" applyAlignment="1">
      <alignment horizontal="center" vertical="center" wrapText="1"/>
    </xf>
    <xf numFmtId="0" fontId="104" fillId="43" borderId="70" xfId="53" applyFont="1" applyFill="1" applyBorder="1" applyAlignment="1">
      <alignment horizontal="center" vertical="center" wrapText="1"/>
    </xf>
    <xf numFmtId="0" fontId="123" fillId="0" borderId="69" xfId="53" applyFont="1" applyFill="1" applyBorder="1" applyAlignment="1">
      <alignment horizontal="center" vertical="center" wrapText="1"/>
    </xf>
    <xf numFmtId="0" fontId="94" fillId="36" borderId="16" xfId="53" applyFont="1" applyFill="1" applyBorder="1" applyAlignment="1">
      <alignment horizontal="center" vertical="center" wrapText="1"/>
    </xf>
    <xf numFmtId="0" fontId="94" fillId="36" borderId="69" xfId="53" applyFont="1" applyFill="1" applyBorder="1" applyAlignment="1">
      <alignment horizontal="center" vertical="center" wrapText="1"/>
    </xf>
    <xf numFmtId="0" fontId="104" fillId="36" borderId="69" xfId="53" applyFont="1" applyFill="1" applyBorder="1" applyAlignment="1">
      <alignment horizontal="center" vertical="center" wrapText="1"/>
    </xf>
    <xf numFmtId="0" fontId="104" fillId="52" borderId="67" xfId="53" applyFont="1" applyFill="1" applyBorder="1" applyAlignment="1">
      <alignment horizontal="center" vertical="center" wrapText="1"/>
    </xf>
    <xf numFmtId="0" fontId="103" fillId="52" borderId="67" xfId="183" applyFont="1" applyFill="1" applyBorder="1" applyAlignment="1">
      <alignment horizontal="center" vertical="center" wrapText="1"/>
    </xf>
    <xf numFmtId="0" fontId="104" fillId="52" borderId="0" xfId="53" applyFont="1" applyFill="1" applyBorder="1" applyAlignment="1">
      <alignment horizontal="center" wrapText="1"/>
    </xf>
    <xf numFmtId="0" fontId="103" fillId="52" borderId="44" xfId="183" applyFont="1" applyFill="1" applyBorder="1" applyAlignment="1">
      <alignment horizontal="center" vertical="center" wrapText="1"/>
    </xf>
    <xf numFmtId="0" fontId="104" fillId="52" borderId="74" xfId="53" applyFont="1" applyFill="1" applyBorder="1" applyAlignment="1">
      <alignment horizontal="center" wrapText="1"/>
    </xf>
    <xf numFmtId="0" fontId="104" fillId="52" borderId="99" xfId="53" applyFont="1" applyFill="1" applyBorder="1" applyAlignment="1">
      <alignment vertical="center" wrapText="1"/>
    </xf>
    <xf numFmtId="0" fontId="104" fillId="36" borderId="86" xfId="53" applyFont="1" applyFill="1" applyBorder="1" applyAlignment="1">
      <alignment vertical="center" wrapText="1"/>
    </xf>
    <xf numFmtId="0" fontId="104" fillId="36" borderId="46" xfId="53" applyFont="1" applyFill="1" applyBorder="1" applyAlignment="1">
      <alignment vertical="center" wrapText="1"/>
    </xf>
    <xf numFmtId="0" fontId="103" fillId="36" borderId="116" xfId="183" applyFont="1" applyFill="1" applyBorder="1" applyAlignment="1">
      <alignment vertical="center" wrapText="1"/>
    </xf>
    <xf numFmtId="0" fontId="103" fillId="36" borderId="45" xfId="183" applyFont="1" applyFill="1" applyBorder="1" applyAlignment="1">
      <alignment vertical="center" wrapText="1"/>
    </xf>
    <xf numFmtId="0" fontId="103" fillId="36" borderId="55" xfId="183" applyFont="1" applyFill="1" applyBorder="1" applyAlignment="1">
      <alignment vertical="center" wrapText="1"/>
    </xf>
    <xf numFmtId="0" fontId="103" fillId="36" borderId="0" xfId="183" applyFont="1" applyFill="1" applyBorder="1" applyAlignment="1">
      <alignment vertical="center" wrapText="1"/>
    </xf>
    <xf numFmtId="0" fontId="115" fillId="53" borderId="17" xfId="183" applyFont="1" applyFill="1" applyBorder="1" applyAlignment="1">
      <alignment horizontal="center" vertical="center" wrapText="1"/>
    </xf>
    <xf numFmtId="0" fontId="104" fillId="53" borderId="62" xfId="53" applyFont="1" applyFill="1" applyBorder="1" applyAlignment="1">
      <alignment horizontal="center" vertical="center" wrapText="1"/>
    </xf>
    <xf numFmtId="0" fontId="104" fillId="53" borderId="77" xfId="53" applyFont="1" applyFill="1" applyBorder="1" applyAlignment="1">
      <alignment horizontal="center" vertical="center" wrapText="1"/>
    </xf>
    <xf numFmtId="0" fontId="103" fillId="53" borderId="43" xfId="183" applyFont="1" applyFill="1" applyBorder="1" applyAlignment="1">
      <alignment vertical="center" wrapText="1"/>
    </xf>
    <xf numFmtId="0" fontId="103" fillId="53" borderId="62" xfId="183" applyFont="1" applyFill="1" applyBorder="1" applyAlignment="1">
      <alignment vertical="center" wrapText="1"/>
    </xf>
    <xf numFmtId="0" fontId="103" fillId="53" borderId="78" xfId="183" applyFont="1" applyFill="1" applyBorder="1" applyAlignment="1">
      <alignment vertical="center" wrapText="1"/>
    </xf>
    <xf numFmtId="0" fontId="121" fillId="0" borderId="16" xfId="53" applyFont="1" applyFill="1" applyBorder="1" applyAlignment="1">
      <alignment horizontal="center" vertical="center" wrapText="1"/>
    </xf>
    <xf numFmtId="0" fontId="104" fillId="43" borderId="62" xfId="53" applyFont="1" applyFill="1" applyBorder="1" applyAlignment="1">
      <alignment horizontal="center" wrapText="1"/>
    </xf>
    <xf numFmtId="0" fontId="104" fillId="43" borderId="35" xfId="53" applyFont="1" applyFill="1" applyBorder="1" applyAlignment="1">
      <alignment horizontal="center" wrapText="1"/>
    </xf>
    <xf numFmtId="0" fontId="104" fillId="0" borderId="17" xfId="53" applyFont="1" applyFill="1" applyBorder="1" applyAlignment="1">
      <alignment horizontal="center" wrapText="1"/>
    </xf>
    <xf numFmtId="0" fontId="63" fillId="0" borderId="16" xfId="53" applyFont="1" applyFill="1" applyBorder="1" applyAlignment="1">
      <alignment horizontal="center" wrapText="1"/>
    </xf>
    <xf numFmtId="0" fontId="94" fillId="43" borderId="46" xfId="53" applyFont="1" applyFill="1" applyBorder="1" applyAlignment="1">
      <alignment horizontal="center" vertical="center" wrapText="1"/>
    </xf>
    <xf numFmtId="0" fontId="104" fillId="43" borderId="69" xfId="53" applyFont="1" applyFill="1" applyBorder="1" applyAlignment="1">
      <alignment horizontal="center" wrapText="1"/>
    </xf>
    <xf numFmtId="0" fontId="104" fillId="43" borderId="17" xfId="53" applyFont="1" applyFill="1" applyBorder="1" applyAlignment="1">
      <alignment horizontal="center" wrapText="1"/>
    </xf>
    <xf numFmtId="0" fontId="104" fillId="43" borderId="70" xfId="53" applyFont="1" applyFill="1" applyBorder="1" applyAlignment="1">
      <alignment horizontal="center" wrapText="1"/>
    </xf>
    <xf numFmtId="0" fontId="104" fillId="0" borderId="69" xfId="53" applyFont="1" applyFill="1" applyBorder="1" applyAlignment="1">
      <alignment horizontal="center" wrapText="1"/>
    </xf>
    <xf numFmtId="0" fontId="104" fillId="36" borderId="111" xfId="53" applyFont="1" applyFill="1" applyBorder="1" applyAlignment="1">
      <alignment horizontal="center" wrapText="1"/>
    </xf>
    <xf numFmtId="0" fontId="104" fillId="36" borderId="110" xfId="53" applyFont="1" applyFill="1" applyBorder="1" applyAlignment="1">
      <alignment horizontal="center" wrapText="1"/>
    </xf>
    <xf numFmtId="0" fontId="104" fillId="36" borderId="110" xfId="53" applyFont="1" applyFill="1" applyBorder="1" applyAlignment="1">
      <alignment horizontal="center" vertical="center" wrapText="1"/>
    </xf>
    <xf numFmtId="0" fontId="104" fillId="52" borderId="110" xfId="53" applyFont="1" applyFill="1" applyBorder="1" applyAlignment="1">
      <alignment horizontal="center" wrapText="1"/>
    </xf>
    <xf numFmtId="0" fontId="103" fillId="52" borderId="110" xfId="183" applyFont="1" applyFill="1" applyBorder="1" applyAlignment="1">
      <alignment horizontal="center" vertical="center" wrapText="1"/>
    </xf>
    <xf numFmtId="0" fontId="104" fillId="52" borderId="117" xfId="53" applyFont="1" applyFill="1" applyBorder="1" applyAlignment="1">
      <alignment horizontal="center" wrapText="1"/>
    </xf>
    <xf numFmtId="0" fontId="103" fillId="52" borderId="118" xfId="183" applyFont="1" applyFill="1" applyBorder="1" applyAlignment="1">
      <alignment horizontal="center" vertical="center" wrapText="1"/>
    </xf>
    <xf numFmtId="0" fontId="103" fillId="52" borderId="119" xfId="183" applyFont="1" applyFill="1" applyBorder="1" applyAlignment="1">
      <alignment horizontal="center" vertical="center" wrapText="1"/>
    </xf>
    <xf numFmtId="0" fontId="104" fillId="52" borderId="120" xfId="53" applyFont="1" applyFill="1" applyBorder="1" applyAlignment="1">
      <alignment horizontal="center" wrapText="1"/>
    </xf>
    <xf numFmtId="0" fontId="104" fillId="36" borderId="83" xfId="53" applyFont="1" applyFill="1" applyBorder="1" applyAlignment="1">
      <alignment horizontal="center" wrapText="1"/>
    </xf>
    <xf numFmtId="0" fontId="104" fillId="36" borderId="15" xfId="53" applyFont="1" applyFill="1" applyBorder="1" applyAlignment="1">
      <alignment horizontal="center" wrapText="1"/>
    </xf>
    <xf numFmtId="0" fontId="103" fillId="36" borderId="121" xfId="183" applyFont="1" applyFill="1" applyBorder="1" applyAlignment="1">
      <alignment horizontal="center" vertical="center" wrapText="1"/>
    </xf>
    <xf numFmtId="0" fontId="103" fillId="36" borderId="117" xfId="183" applyFont="1" applyFill="1" applyBorder="1" applyAlignment="1">
      <alignment horizontal="center" vertical="center" wrapText="1"/>
    </xf>
    <xf numFmtId="0" fontId="103" fillId="36" borderId="118" xfId="183" applyFont="1" applyFill="1" applyBorder="1" applyAlignment="1">
      <alignment horizontal="center" vertical="center" wrapText="1"/>
    </xf>
    <xf numFmtId="0" fontId="103" fillId="36" borderId="119" xfId="183" applyFont="1" applyFill="1" applyBorder="1" applyAlignment="1">
      <alignment horizontal="center" vertical="center" wrapText="1"/>
    </xf>
    <xf numFmtId="0" fontId="103" fillId="36" borderId="44" xfId="183" applyFont="1" applyFill="1" applyBorder="1" applyAlignment="1">
      <alignment horizontal="center" vertical="center" wrapText="1"/>
    </xf>
    <xf numFmtId="0" fontId="103" fillId="36" borderId="46" xfId="183" applyFont="1" applyFill="1" applyBorder="1" applyAlignment="1">
      <alignment horizontal="center" vertical="center" wrapText="1"/>
    </xf>
    <xf numFmtId="0" fontId="104" fillId="0" borderId="67" xfId="53" applyFont="1" applyFill="1" applyBorder="1" applyAlignment="1">
      <alignment horizontal="center" wrapText="1"/>
    </xf>
    <xf numFmtId="0" fontId="63" fillId="0" borderId="44" xfId="53" applyFont="1" applyFill="1" applyBorder="1" applyAlignment="1">
      <alignment horizontal="center" wrapText="1"/>
    </xf>
    <xf numFmtId="0" fontId="103" fillId="53" borderId="17" xfId="183" applyFont="1" applyFill="1" applyBorder="1" applyAlignment="1">
      <alignment horizontal="center" vertical="center" wrapText="1"/>
    </xf>
    <xf numFmtId="0" fontId="104" fillId="53" borderId="62" xfId="53" applyFont="1" applyFill="1" applyBorder="1" applyAlignment="1">
      <alignment horizontal="center" wrapText="1"/>
    </xf>
    <xf numFmtId="0" fontId="104" fillId="53" borderId="77" xfId="53" applyFont="1" applyFill="1" applyBorder="1" applyAlignment="1">
      <alignment horizontal="center" wrapText="1"/>
    </xf>
    <xf numFmtId="0" fontId="103" fillId="53" borderId="17" xfId="183" applyFont="1" applyFill="1" applyBorder="1" applyAlignment="1">
      <alignment vertical="center" wrapText="1"/>
    </xf>
    <xf numFmtId="0" fontId="103" fillId="53" borderId="70" xfId="183" applyFont="1" applyFill="1" applyBorder="1" applyAlignment="1">
      <alignment vertical="center" wrapText="1"/>
    </xf>
    <xf numFmtId="0" fontId="118" fillId="0" borderId="17" xfId="53" applyFont="1" applyFill="1" applyBorder="1" applyAlignment="1">
      <alignment horizontal="right" vertical="center" wrapText="1"/>
    </xf>
    <xf numFmtId="0" fontId="117" fillId="0" borderId="46" xfId="183" applyFont="1" applyFill="1" applyBorder="1" applyAlignment="1">
      <alignment horizontal="center" vertical="center" wrapText="1"/>
    </xf>
    <xf numFmtId="0" fontId="117" fillId="0" borderId="17" xfId="183" applyFont="1" applyFill="1" applyBorder="1" applyAlignment="1">
      <alignment horizontal="center" vertical="center" wrapText="1"/>
    </xf>
    <xf numFmtId="0" fontId="117" fillId="0" borderId="16" xfId="183" applyFont="1" applyFill="1" applyBorder="1" applyAlignment="1">
      <alignment horizontal="center" vertical="center" wrapText="1"/>
    </xf>
    <xf numFmtId="0" fontId="118" fillId="0" borderId="0" xfId="53" applyFont="1" applyFill="1" applyBorder="1" applyAlignment="1">
      <alignment horizontal="center" vertical="center" wrapText="1"/>
    </xf>
    <xf numFmtId="0" fontId="117" fillId="0" borderId="69" xfId="183" applyFont="1" applyFill="1" applyBorder="1" applyAlignment="1">
      <alignment horizontal="center" vertical="center" wrapText="1"/>
    </xf>
    <xf numFmtId="0" fontId="117" fillId="0" borderId="70" xfId="183" applyFont="1" applyFill="1" applyBorder="1" applyAlignment="1">
      <alignment horizontal="center" vertical="center" wrapText="1"/>
    </xf>
    <xf numFmtId="0" fontId="134" fillId="0" borderId="0" xfId="183" applyFont="1" applyFill="1" applyBorder="1" applyAlignment="1">
      <alignment horizontal="center" vertical="center" wrapText="1"/>
    </xf>
    <xf numFmtId="0" fontId="134" fillId="0" borderId="73" xfId="183" applyFont="1" applyFill="1" applyBorder="1" applyAlignment="1">
      <alignment horizontal="center" vertical="center" wrapText="1"/>
    </xf>
    <xf numFmtId="0" fontId="117" fillId="0" borderId="73" xfId="183" applyFont="1" applyFill="1" applyBorder="1" applyAlignment="1">
      <alignment horizontal="center" vertical="center" wrapText="1"/>
    </xf>
    <xf numFmtId="0" fontId="121" fillId="0" borderId="0" xfId="53" applyFont="1" applyFill="1" applyBorder="1" applyAlignment="1">
      <alignment horizontal="left" vertical="center" wrapText="1"/>
    </xf>
    <xf numFmtId="0" fontId="116" fillId="0" borderId="17" xfId="53" applyFont="1" applyBorder="1" applyAlignment="1">
      <alignment horizontal="left" vertical="top" wrapText="1"/>
    </xf>
    <xf numFmtId="0" fontId="116" fillId="0" borderId="17" xfId="53" applyFont="1" applyFill="1" applyBorder="1" applyAlignment="1">
      <alignment horizontal="left" vertical="top" wrapText="1"/>
    </xf>
    <xf numFmtId="0" fontId="121" fillId="0" borderId="17" xfId="53" applyFont="1" applyBorder="1" applyAlignment="1">
      <alignment horizontal="center" vertical="top" wrapText="1"/>
    </xf>
    <xf numFmtId="0" fontId="117" fillId="0" borderId="46" xfId="183" applyFont="1" applyFill="1" applyBorder="1" applyAlignment="1">
      <alignment horizontal="left" vertical="center" wrapText="1"/>
    </xf>
    <xf numFmtId="0" fontId="116" fillId="0" borderId="17" xfId="53" applyFont="1" applyFill="1" applyBorder="1" applyAlignment="1">
      <alignment horizontal="center" vertical="center" wrapText="1"/>
    </xf>
    <xf numFmtId="0" fontId="116" fillId="0" borderId="69" xfId="53" applyFont="1" applyFill="1" applyBorder="1" applyAlignment="1">
      <alignment horizontal="center" vertical="center" wrapText="1"/>
    </xf>
    <xf numFmtId="0" fontId="116" fillId="0" borderId="70" xfId="53" applyFont="1" applyFill="1" applyBorder="1" applyAlignment="1">
      <alignment horizontal="center" vertical="center" wrapText="1"/>
    </xf>
    <xf numFmtId="0" fontId="121" fillId="0" borderId="0" xfId="53" applyFont="1" applyFill="1" applyBorder="1" applyAlignment="1">
      <alignment horizontal="center" vertical="center" wrapText="1"/>
    </xf>
    <xf numFmtId="0" fontId="121" fillId="0" borderId="73" xfId="53" applyFont="1" applyFill="1" applyBorder="1" applyAlignment="1">
      <alignment horizontal="center" vertical="center" wrapText="1"/>
    </xf>
    <xf numFmtId="0" fontId="117" fillId="0" borderId="0" xfId="183" applyFont="1" applyFill="1" applyBorder="1" applyAlignment="1">
      <alignment horizontal="left" vertical="center"/>
    </xf>
    <xf numFmtId="0" fontId="117" fillId="0" borderId="17" xfId="183" applyFont="1" applyFill="1" applyBorder="1" applyAlignment="1">
      <alignment horizontal="left" vertical="center"/>
    </xf>
    <xf numFmtId="0" fontId="134" fillId="0" borderId="17" xfId="183" applyFont="1" applyFill="1" applyBorder="1" applyAlignment="1">
      <alignment horizontal="center" vertical="center"/>
    </xf>
    <xf numFmtId="0" fontId="117" fillId="0" borderId="0" xfId="183" applyFont="1" applyFill="1" applyBorder="1" applyAlignment="1">
      <alignment horizontal="left" vertical="center" wrapText="1"/>
    </xf>
    <xf numFmtId="0" fontId="117" fillId="0" borderId="17" xfId="183" applyFont="1" applyFill="1" applyBorder="1" applyAlignment="1">
      <alignment horizontal="left" vertical="center" wrapText="1"/>
    </xf>
    <xf numFmtId="0" fontId="134" fillId="0" borderId="17" xfId="183" applyFont="1" applyFill="1" applyBorder="1" applyAlignment="1">
      <alignment horizontal="center" vertical="center" wrapText="1"/>
    </xf>
    <xf numFmtId="0" fontId="118" fillId="0" borderId="35" xfId="53" applyFont="1" applyFill="1" applyBorder="1" applyAlignment="1">
      <alignment horizontal="center" vertical="center" wrapText="1"/>
    </xf>
    <xf numFmtId="0" fontId="121" fillId="0" borderId="35" xfId="53" applyFont="1" applyFill="1" applyBorder="1" applyAlignment="1">
      <alignment horizontal="center" vertical="center" wrapText="1"/>
    </xf>
    <xf numFmtId="0" fontId="121" fillId="0" borderId="88" xfId="53" applyFont="1" applyFill="1" applyBorder="1" applyAlignment="1">
      <alignment horizontal="center" vertical="center" wrapText="1"/>
    </xf>
    <xf numFmtId="0" fontId="121" fillId="0" borderId="66" xfId="53" applyFont="1" applyFill="1" applyBorder="1" applyAlignment="1">
      <alignment horizontal="left" vertical="center" wrapText="1"/>
    </xf>
    <xf numFmtId="0" fontId="116" fillId="0" borderId="17" xfId="53" applyFont="1" applyBorder="1" applyAlignment="1">
      <alignment horizontal="left" wrapText="1"/>
    </xf>
    <xf numFmtId="0" fontId="116" fillId="0" borderId="17" xfId="53" applyFont="1" applyFill="1" applyBorder="1" applyAlignment="1">
      <alignment horizontal="left" wrapText="1"/>
    </xf>
    <xf numFmtId="0" fontId="121" fillId="0" borderId="17" xfId="53" applyFont="1" applyBorder="1" applyAlignment="1">
      <alignment horizontal="center" wrapText="1"/>
    </xf>
    <xf numFmtId="0" fontId="121" fillId="0" borderId="49" xfId="53" applyFont="1" applyFill="1" applyBorder="1" applyAlignment="1">
      <alignment horizontal="center" vertical="center" wrapText="1"/>
    </xf>
    <xf numFmtId="0" fontId="63" fillId="0" borderId="16" xfId="53" applyFont="1" applyBorder="1" applyAlignment="1">
      <alignment horizontal="center" vertical="center" wrapText="1"/>
    </xf>
    <xf numFmtId="0" fontId="63" fillId="0" borderId="15" xfId="53" applyFont="1" applyBorder="1" applyAlignment="1">
      <alignment horizontal="center" vertical="center" wrapText="1"/>
    </xf>
    <xf numFmtId="0" fontId="63" fillId="0" borderId="17" xfId="53" applyFont="1" applyFill="1" applyBorder="1" applyAlignment="1">
      <alignment horizontal="center" vertical="center" wrapText="1"/>
    </xf>
    <xf numFmtId="0" fontId="63" fillId="0" borderId="16" xfId="53" applyFont="1" applyFill="1" applyBorder="1" applyAlignment="1">
      <alignment horizontal="center" vertical="center" wrapText="1"/>
    </xf>
    <xf numFmtId="0" fontId="63" fillId="0" borderId="83" xfId="53" applyFont="1" applyBorder="1" applyAlignment="1">
      <alignment horizontal="center" vertical="center" wrapText="1"/>
    </xf>
    <xf numFmtId="0" fontId="63" fillId="0" borderId="70" xfId="53" applyFont="1" applyBorder="1" applyAlignment="1">
      <alignment horizontal="center" vertical="center" wrapText="1"/>
    </xf>
    <xf numFmtId="0" fontId="63" fillId="0" borderId="69" xfId="53" applyFont="1" applyFill="1" applyBorder="1" applyAlignment="1">
      <alignment horizontal="center" vertical="center" wrapText="1"/>
    </xf>
    <xf numFmtId="0" fontId="94" fillId="0" borderId="16" xfId="53" applyFont="1" applyBorder="1" applyAlignment="1">
      <alignment horizontal="center" vertical="center" wrapText="1"/>
    </xf>
    <xf numFmtId="0" fontId="94" fillId="0" borderId="69" xfId="53" applyFont="1" applyBorder="1" applyAlignment="1">
      <alignment horizontal="center" vertical="center" wrapText="1"/>
    </xf>
    <xf numFmtId="0" fontId="102" fillId="0" borderId="16" xfId="53" applyFont="1" applyFill="1" applyBorder="1" applyAlignment="1">
      <alignment horizontal="center" vertical="center" wrapText="1"/>
    </xf>
    <xf numFmtId="0" fontId="63" fillId="0" borderId="77" xfId="53" applyFont="1" applyFill="1" applyBorder="1" applyAlignment="1">
      <alignment horizontal="center" vertical="center" wrapText="1"/>
    </xf>
    <xf numFmtId="0" fontId="94" fillId="0" borderId="77" xfId="53" applyFont="1" applyBorder="1" applyAlignment="1">
      <alignment horizontal="center" vertical="center" wrapText="1"/>
    </xf>
    <xf numFmtId="0" fontId="94" fillId="0" borderId="35" xfId="53" applyFont="1" applyBorder="1" applyAlignment="1">
      <alignment horizontal="center" vertical="center" wrapText="1"/>
    </xf>
    <xf numFmtId="0" fontId="94" fillId="0" borderId="122" xfId="53" applyFont="1" applyBorder="1" applyAlignment="1">
      <alignment horizontal="center" vertical="center" wrapText="1"/>
    </xf>
    <xf numFmtId="0" fontId="94" fillId="0" borderId="35" xfId="53" applyFont="1" applyFill="1" applyBorder="1" applyAlignment="1">
      <alignment horizontal="center" vertical="center" wrapText="1"/>
    </xf>
    <xf numFmtId="0" fontId="103" fillId="0" borderId="16" xfId="183" applyFont="1" applyFill="1" applyBorder="1" applyAlignment="1">
      <alignment horizontal="center" vertical="center" wrapText="1"/>
    </xf>
    <xf numFmtId="0" fontId="103" fillId="0" borderId="17" xfId="183" applyFont="1" applyFill="1" applyBorder="1" applyAlignment="1">
      <alignment horizontal="center" vertical="center" wrapText="1"/>
    </xf>
    <xf numFmtId="0" fontId="103" fillId="0" borderId="70" xfId="183" applyFont="1" applyFill="1" applyBorder="1" applyAlignment="1">
      <alignment horizontal="center" vertical="center" wrapText="1"/>
    </xf>
    <xf numFmtId="0" fontId="105" fillId="37" borderId="16" xfId="183" applyFont="1" applyFill="1" applyBorder="1" applyAlignment="1">
      <alignment horizontal="center" vertical="center" wrapText="1"/>
    </xf>
    <xf numFmtId="168" fontId="105" fillId="0" borderId="16" xfId="183" applyNumberFormat="1" applyFont="1" applyFill="1" applyBorder="1" applyAlignment="1">
      <alignment horizontal="center" vertical="center" wrapText="1"/>
    </xf>
    <xf numFmtId="0" fontId="105" fillId="0" borderId="16" xfId="183" applyFont="1" applyFill="1" applyBorder="1" applyAlignment="1">
      <alignment horizontal="center" vertical="center" wrapText="1"/>
    </xf>
    <xf numFmtId="0" fontId="94" fillId="37" borderId="14" xfId="53" applyFont="1" applyFill="1" applyBorder="1" applyAlignment="1">
      <alignment horizontal="center" vertical="center" wrapText="1"/>
    </xf>
    <xf numFmtId="0" fontId="105" fillId="37" borderId="69" xfId="183" applyFont="1" applyFill="1" applyBorder="1" applyAlignment="1">
      <alignment horizontal="center" vertical="center" wrapText="1"/>
    </xf>
    <xf numFmtId="0" fontId="105" fillId="37" borderId="17" xfId="183" applyFont="1" applyFill="1" applyBorder="1" applyAlignment="1">
      <alignment horizontal="center" vertical="center" wrapText="1"/>
    </xf>
    <xf numFmtId="0" fontId="105" fillId="37" borderId="70" xfId="183" applyFont="1" applyFill="1" applyBorder="1" applyAlignment="1">
      <alignment horizontal="center" vertical="center" wrapText="1"/>
    </xf>
    <xf numFmtId="0" fontId="63" fillId="37" borderId="16" xfId="53" applyFont="1" applyFill="1" applyBorder="1" applyAlignment="1">
      <alignment horizontal="center" vertical="center" wrapText="1"/>
    </xf>
    <xf numFmtId="0" fontId="135" fillId="37" borderId="29" xfId="0" applyFont="1" applyFill="1" applyBorder="1" applyAlignment="1">
      <alignment horizontal="center" vertical="center" wrapText="1"/>
    </xf>
    <xf numFmtId="0" fontId="63" fillId="37" borderId="17" xfId="53" applyFont="1" applyFill="1" applyBorder="1" applyAlignment="1" applyProtection="1">
      <alignment horizontal="center" vertical="center" wrapText="1"/>
      <protection locked="0"/>
    </xf>
    <xf numFmtId="0" fontId="105" fillId="37" borderId="14" xfId="183" applyFont="1" applyFill="1" applyBorder="1" applyAlignment="1">
      <alignment horizontal="center" vertical="center" wrapText="1"/>
    </xf>
    <xf numFmtId="0" fontId="105" fillId="37" borderId="15" xfId="183" applyFont="1" applyFill="1" applyBorder="1" applyAlignment="1">
      <alignment horizontal="center" vertical="center" wrapText="1"/>
    </xf>
    <xf numFmtId="0" fontId="105" fillId="37" borderId="123" xfId="183" applyFont="1" applyFill="1" applyBorder="1" applyAlignment="1">
      <alignment horizontal="center" vertical="center" wrapText="1"/>
    </xf>
    <xf numFmtId="0" fontId="105" fillId="37" borderId="69" xfId="183" applyFont="1" applyFill="1" applyBorder="1" applyAlignment="1">
      <alignment horizontal="center" wrapText="1"/>
    </xf>
    <xf numFmtId="0" fontId="105" fillId="37" borderId="16" xfId="183" applyFont="1" applyFill="1" applyBorder="1" applyAlignment="1">
      <alignment horizontal="center" wrapText="1"/>
    </xf>
    <xf numFmtId="0" fontId="105" fillId="37" borderId="17" xfId="183" applyFont="1" applyFill="1" applyBorder="1" applyAlignment="1">
      <alignment horizontal="center" wrapText="1"/>
    </xf>
    <xf numFmtId="0" fontId="105" fillId="37" borderId="70" xfId="183" applyFont="1" applyFill="1" applyBorder="1" applyAlignment="1">
      <alignment horizontal="center" wrapText="1"/>
    </xf>
    <xf numFmtId="0" fontId="63" fillId="37" borderId="0" xfId="53" applyFont="1" applyFill="1" applyAlignment="1">
      <alignment wrapText="1"/>
    </xf>
    <xf numFmtId="0" fontId="116" fillId="37" borderId="16" xfId="53" applyFont="1" applyFill="1" applyBorder="1" applyAlignment="1">
      <alignment horizontal="center" vertical="center" wrapText="1"/>
    </xf>
    <xf numFmtId="0" fontId="63" fillId="37" borderId="17" xfId="53" applyFont="1" applyFill="1" applyBorder="1" applyAlignment="1">
      <alignment vertical="center" wrapText="1"/>
    </xf>
    <xf numFmtId="0" fontId="63" fillId="37" borderId="70" xfId="53" applyFont="1" applyFill="1" applyBorder="1" applyAlignment="1" applyProtection="1">
      <alignment horizontal="center" vertical="center" wrapText="1"/>
      <protection locked="0"/>
    </xf>
    <xf numFmtId="0" fontId="63" fillId="0" borderId="16" xfId="53" applyFont="1" applyFill="1" applyBorder="1" applyAlignment="1" applyProtection="1">
      <alignment horizontal="center" vertical="center" wrapText="1"/>
      <protection locked="0"/>
    </xf>
    <xf numFmtId="0" fontId="63" fillId="37" borderId="14" xfId="53" applyFont="1" applyFill="1" applyBorder="1" applyAlignment="1" applyProtection="1">
      <alignment horizontal="center" vertical="center" wrapText="1"/>
      <protection locked="0"/>
    </xf>
    <xf numFmtId="0" fontId="63" fillId="37" borderId="15" xfId="53" applyFont="1" applyFill="1" applyBorder="1" applyAlignment="1" applyProtection="1">
      <alignment horizontal="center" vertical="center" wrapText="1"/>
      <protection locked="0"/>
    </xf>
    <xf numFmtId="0" fontId="63" fillId="37" borderId="123" xfId="53" applyFont="1" applyFill="1" applyBorder="1" applyAlignment="1" applyProtection="1">
      <alignment horizontal="center" vertical="center" wrapText="1"/>
      <protection locked="0"/>
    </xf>
    <xf numFmtId="0" fontId="63" fillId="37" borderId="16" xfId="53" applyFont="1" applyFill="1" applyBorder="1" applyAlignment="1" applyProtection="1">
      <alignment horizontal="center" vertical="center" wrapText="1"/>
      <protection locked="0"/>
    </xf>
    <xf numFmtId="0" fontId="116" fillId="37" borderId="17" xfId="53" applyFont="1" applyFill="1" applyBorder="1" applyAlignment="1">
      <alignment horizontal="center" vertical="center" wrapText="1"/>
    </xf>
    <xf numFmtId="0" fontId="94" fillId="37" borderId="17" xfId="53" applyFont="1" applyFill="1" applyBorder="1" applyAlignment="1">
      <alignment wrapText="1"/>
    </xf>
    <xf numFmtId="0" fontId="105" fillId="0" borderId="15" xfId="183" applyFont="1" applyFill="1" applyBorder="1" applyAlignment="1">
      <alignment horizontal="center" vertical="center" wrapText="1"/>
    </xf>
    <xf numFmtId="0" fontId="63" fillId="0" borderId="69" xfId="53" applyFont="1" applyFill="1" applyBorder="1" applyAlignment="1" applyProtection="1">
      <alignment horizontal="center" vertical="center" wrapText="1"/>
      <protection locked="0"/>
    </xf>
    <xf numFmtId="0" fontId="105" fillId="34" borderId="16" xfId="183" applyFont="1" applyFill="1" applyBorder="1" applyAlignment="1">
      <alignment horizontal="center" vertical="center" wrapText="1"/>
    </xf>
    <xf numFmtId="0" fontId="94" fillId="34" borderId="14" xfId="53" applyFont="1" applyFill="1" applyBorder="1" applyAlignment="1">
      <alignment horizontal="center" vertical="center" wrapText="1"/>
    </xf>
    <xf numFmtId="0" fontId="135" fillId="34" borderId="29" xfId="0" applyFont="1" applyFill="1" applyBorder="1" applyAlignment="1" applyProtection="1">
      <alignment horizontal="center" vertical="center" wrapText="1"/>
      <protection locked="0"/>
    </xf>
    <xf numFmtId="0" fontId="63" fillId="34" borderId="15" xfId="53" applyFont="1" applyFill="1" applyBorder="1" applyAlignment="1" applyProtection="1">
      <alignment horizontal="center" vertical="center" wrapText="1"/>
      <protection locked="0"/>
    </xf>
    <xf numFmtId="0" fontId="63" fillId="34" borderId="123" xfId="53" applyFont="1" applyFill="1" applyBorder="1" applyAlignment="1" applyProtection="1">
      <alignment horizontal="center" vertical="center" wrapText="1"/>
      <protection locked="0"/>
    </xf>
    <xf numFmtId="0" fontId="116" fillId="34" borderId="16" xfId="53" applyFont="1" applyFill="1" applyBorder="1" applyAlignment="1" applyProtection="1">
      <alignment horizontal="center" vertical="center" wrapText="1"/>
      <protection locked="0"/>
    </xf>
    <xf numFmtId="0" fontId="63" fillId="34" borderId="17" xfId="53" applyFont="1" applyFill="1" applyBorder="1" applyAlignment="1">
      <alignment vertical="center" wrapText="1"/>
    </xf>
    <xf numFmtId="0" fontId="116" fillId="34" borderId="17" xfId="53" applyFont="1" applyFill="1" applyBorder="1" applyAlignment="1" applyProtection="1">
      <alignment horizontal="center" vertical="center" wrapText="1"/>
      <protection locked="0"/>
    </xf>
    <xf numFmtId="0" fontId="94" fillId="34" borderId="15" xfId="53" applyFont="1" applyFill="1" applyBorder="1" applyAlignment="1" applyProtection="1">
      <alignment horizontal="center" vertical="center" wrapText="1"/>
      <protection locked="0"/>
    </xf>
    <xf numFmtId="0" fontId="116" fillId="34" borderId="16" xfId="53" applyFont="1" applyFill="1" applyBorder="1" applyAlignment="1">
      <alignment horizontal="center" vertical="center" wrapText="1"/>
    </xf>
    <xf numFmtId="0" fontId="105" fillId="42" borderId="16" xfId="183" applyFont="1" applyFill="1" applyBorder="1" applyAlignment="1">
      <alignment horizontal="center" vertical="center" wrapText="1"/>
    </xf>
    <xf numFmtId="0" fontId="94" fillId="42" borderId="14" xfId="53" applyFont="1" applyFill="1" applyBorder="1" applyAlignment="1">
      <alignment horizontal="center" vertical="center" wrapText="1"/>
    </xf>
    <xf numFmtId="0" fontId="135" fillId="42" borderId="29" xfId="0" applyFont="1" applyFill="1" applyBorder="1" applyAlignment="1" applyProtection="1">
      <alignment horizontal="center" vertical="center" wrapText="1"/>
      <protection locked="0"/>
    </xf>
    <xf numFmtId="0" fontId="63" fillId="42" borderId="15" xfId="53" applyFont="1" applyFill="1" applyBorder="1" applyAlignment="1" applyProtection="1">
      <alignment horizontal="center" vertical="center" wrapText="1"/>
      <protection locked="0"/>
    </xf>
    <xf numFmtId="0" fontId="63" fillId="42" borderId="123" xfId="53" applyFont="1" applyFill="1" applyBorder="1" applyAlignment="1" applyProtection="1">
      <alignment horizontal="center" vertical="center" wrapText="1"/>
      <protection locked="0"/>
    </xf>
    <xf numFmtId="0" fontId="116" fillId="42" borderId="16" xfId="53" applyFont="1" applyFill="1" applyBorder="1" applyAlignment="1" applyProtection="1">
      <alignment horizontal="center" vertical="center" wrapText="1"/>
      <protection locked="0"/>
    </xf>
    <xf numFmtId="0" fontId="63" fillId="42" borderId="17" xfId="53" applyFont="1" applyFill="1" applyBorder="1" applyAlignment="1">
      <alignment vertical="center" wrapText="1"/>
    </xf>
    <xf numFmtId="0" fontId="94" fillId="42" borderId="15" xfId="53" applyFont="1" applyFill="1" applyBorder="1" applyAlignment="1" applyProtection="1">
      <alignment horizontal="center" vertical="center" wrapText="1"/>
      <protection locked="0"/>
    </xf>
    <xf numFmtId="0" fontId="116" fillId="42" borderId="16" xfId="53" applyFont="1" applyFill="1" applyBorder="1" applyAlignment="1">
      <alignment horizontal="center" vertical="center" wrapText="1"/>
    </xf>
    <xf numFmtId="0" fontId="105" fillId="43" borderId="16" xfId="183" applyFont="1" applyFill="1" applyBorder="1" applyAlignment="1">
      <alignment horizontal="center" vertical="center" wrapText="1"/>
    </xf>
    <xf numFmtId="0" fontId="94" fillId="43" borderId="14" xfId="53" applyFont="1" applyFill="1" applyBorder="1" applyAlignment="1">
      <alignment horizontal="center" vertical="center" wrapText="1"/>
    </xf>
    <xf numFmtId="0" fontId="135" fillId="43" borderId="29" xfId="0" applyFont="1" applyFill="1" applyBorder="1" applyAlignment="1" applyProtection="1">
      <alignment horizontal="center" vertical="center" wrapText="1"/>
      <protection locked="0"/>
    </xf>
    <xf numFmtId="0" fontId="63" fillId="43" borderId="15" xfId="53" applyFont="1" applyFill="1" applyBorder="1" applyAlignment="1" applyProtection="1">
      <alignment horizontal="center" vertical="center" wrapText="1"/>
      <protection locked="0"/>
    </xf>
    <xf numFmtId="0" fontId="63" fillId="43" borderId="123" xfId="53" applyFont="1" applyFill="1" applyBorder="1" applyAlignment="1" applyProtection="1">
      <alignment horizontal="center" vertical="center" wrapText="1"/>
      <protection locked="0"/>
    </xf>
    <xf numFmtId="0" fontId="63" fillId="43" borderId="17" xfId="53" applyFont="1" applyFill="1" applyBorder="1" applyAlignment="1">
      <alignment vertical="center" wrapText="1"/>
    </xf>
    <xf numFmtId="0" fontId="116" fillId="43" borderId="17" xfId="53" applyFont="1" applyFill="1" applyBorder="1" applyAlignment="1" applyProtection="1">
      <alignment horizontal="center" vertical="center" wrapText="1"/>
      <protection locked="0"/>
    </xf>
    <xf numFmtId="0" fontId="94" fillId="43" borderId="15" xfId="53" applyFont="1" applyFill="1" applyBorder="1" applyAlignment="1" applyProtection="1">
      <alignment horizontal="center" vertical="center" wrapText="1"/>
      <protection locked="0"/>
    </xf>
    <xf numFmtId="0" fontId="116" fillId="43" borderId="16" xfId="53" applyFont="1" applyFill="1" applyBorder="1" applyAlignment="1">
      <alignment horizontal="center" vertical="center" wrapText="1"/>
    </xf>
    <xf numFmtId="0" fontId="105" fillId="44" borderId="16" xfId="183" applyFont="1" applyFill="1" applyBorder="1" applyAlignment="1">
      <alignment horizontal="center" vertical="center" wrapText="1"/>
    </xf>
    <xf numFmtId="0" fontId="94" fillId="44" borderId="14" xfId="53" applyFont="1" applyFill="1" applyBorder="1" applyAlignment="1">
      <alignment horizontal="center" vertical="center" wrapText="1"/>
    </xf>
    <xf numFmtId="0" fontId="135" fillId="44" borderId="29" xfId="0" applyFont="1" applyFill="1" applyBorder="1" applyAlignment="1" applyProtection="1">
      <alignment horizontal="center" vertical="center" wrapText="1"/>
      <protection locked="0"/>
    </xf>
    <xf numFmtId="0" fontId="63" fillId="44" borderId="15" xfId="53" applyFont="1" applyFill="1" applyBorder="1" applyAlignment="1" applyProtection="1">
      <alignment horizontal="center" vertical="center" wrapText="1"/>
      <protection locked="0"/>
    </xf>
    <xf numFmtId="0" fontId="63" fillId="44" borderId="123" xfId="53" applyFont="1" applyFill="1" applyBorder="1" applyAlignment="1" applyProtection="1">
      <alignment horizontal="center" vertical="center" wrapText="1"/>
      <protection locked="0"/>
    </xf>
    <xf numFmtId="0" fontId="63" fillId="44" borderId="17" xfId="53" applyFont="1" applyFill="1" applyBorder="1" applyAlignment="1">
      <alignment vertical="center" wrapText="1"/>
    </xf>
    <xf numFmtId="0" fontId="116" fillId="44" borderId="16" xfId="53" applyFont="1" applyFill="1" applyBorder="1" applyAlignment="1" applyProtection="1">
      <alignment horizontal="center" vertical="center" wrapText="1"/>
      <protection locked="0"/>
    </xf>
    <xf numFmtId="0" fontId="94" fillId="44" borderId="15" xfId="53" applyFont="1" applyFill="1" applyBorder="1" applyAlignment="1" applyProtection="1">
      <alignment horizontal="center" vertical="center" wrapText="1"/>
      <protection locked="0"/>
    </xf>
    <xf numFmtId="0" fontId="116" fillId="44" borderId="16" xfId="53" applyFont="1" applyFill="1" applyBorder="1" applyAlignment="1">
      <alignment horizontal="center" vertical="center" wrapText="1"/>
    </xf>
    <xf numFmtId="0" fontId="105" fillId="35" borderId="16" xfId="183" applyFont="1" applyFill="1" applyBorder="1" applyAlignment="1">
      <alignment horizontal="center" vertical="center" wrapText="1"/>
    </xf>
    <xf numFmtId="0" fontId="94" fillId="35" borderId="14" xfId="53" applyFont="1" applyFill="1" applyBorder="1" applyAlignment="1">
      <alignment horizontal="center" vertical="center" wrapText="1"/>
    </xf>
    <xf numFmtId="0" fontId="135" fillId="35" borderId="29" xfId="0" applyFont="1" applyFill="1" applyBorder="1" applyAlignment="1" applyProtection="1">
      <alignment horizontal="center" vertical="center" wrapText="1"/>
      <protection locked="0"/>
    </xf>
    <xf numFmtId="0" fontId="63" fillId="35" borderId="15" xfId="53" applyFont="1" applyFill="1" applyBorder="1" applyAlignment="1" applyProtection="1">
      <alignment horizontal="center" vertical="center" wrapText="1"/>
      <protection locked="0"/>
    </xf>
    <xf numFmtId="0" fontId="63" fillId="35" borderId="123" xfId="53" applyFont="1" applyFill="1" applyBorder="1" applyAlignment="1" applyProtection="1">
      <alignment horizontal="center" vertical="center" wrapText="1"/>
      <protection locked="0"/>
    </xf>
    <xf numFmtId="0" fontId="116" fillId="35" borderId="16" xfId="53" applyFont="1" applyFill="1" applyBorder="1" applyAlignment="1" applyProtection="1">
      <alignment horizontal="center" vertical="center" wrapText="1"/>
      <protection locked="0"/>
    </xf>
    <xf numFmtId="0" fontId="63" fillId="35" borderId="17" xfId="53" applyFont="1" applyFill="1" applyBorder="1" applyAlignment="1">
      <alignment vertical="center" wrapText="1"/>
    </xf>
    <xf numFmtId="0" fontId="116" fillId="35" borderId="62" xfId="53" applyFont="1" applyFill="1" applyBorder="1" applyAlignment="1" applyProtection="1">
      <alignment horizontal="center" vertical="center" wrapText="1"/>
      <protection locked="0"/>
    </xf>
    <xf numFmtId="0" fontId="94" fillId="35" borderId="15" xfId="53" applyFont="1" applyFill="1" applyBorder="1" applyAlignment="1" applyProtection="1">
      <alignment horizontal="center" vertical="center" wrapText="1"/>
      <protection locked="0"/>
    </xf>
    <xf numFmtId="0" fontId="116" fillId="35" borderId="16" xfId="53" applyFont="1" applyFill="1" applyBorder="1" applyAlignment="1">
      <alignment horizontal="center" vertical="center" wrapText="1"/>
    </xf>
    <xf numFmtId="0" fontId="105" fillId="45" borderId="16" xfId="183" applyFont="1" applyFill="1" applyBorder="1" applyAlignment="1">
      <alignment horizontal="center" vertical="center" wrapText="1"/>
    </xf>
    <xf numFmtId="0" fontId="94" fillId="45" borderId="14" xfId="53" applyFont="1" applyFill="1" applyBorder="1" applyAlignment="1">
      <alignment horizontal="center" vertical="center" wrapText="1"/>
    </xf>
    <xf numFmtId="0" fontId="135" fillId="45" borderId="29" xfId="0" applyFont="1" applyFill="1" applyBorder="1" applyAlignment="1" applyProtection="1">
      <alignment horizontal="center" vertical="center" wrapText="1"/>
      <protection locked="0"/>
    </xf>
    <xf numFmtId="0" fontId="63" fillId="45" borderId="15" xfId="53" applyFont="1" applyFill="1" applyBorder="1" applyAlignment="1" applyProtection="1">
      <alignment horizontal="center" vertical="center" wrapText="1"/>
      <protection locked="0"/>
    </xf>
    <xf numFmtId="0" fontId="63" fillId="45" borderId="123" xfId="53" applyFont="1" applyFill="1" applyBorder="1" applyAlignment="1" applyProtection="1">
      <alignment horizontal="center" vertical="center" wrapText="1"/>
      <protection locked="0"/>
    </xf>
    <xf numFmtId="0" fontId="116" fillId="45" borderId="16" xfId="53" applyFont="1" applyFill="1" applyBorder="1" applyAlignment="1" applyProtection="1">
      <alignment horizontal="center" vertical="center" wrapText="1"/>
      <protection locked="0"/>
    </xf>
    <xf numFmtId="0" fontId="63" fillId="45" borderId="17" xfId="53" applyFont="1" applyFill="1" applyBorder="1" applyAlignment="1">
      <alignment vertical="center" wrapText="1"/>
    </xf>
    <xf numFmtId="0" fontId="94" fillId="45" borderId="15" xfId="53" applyFont="1" applyFill="1" applyBorder="1" applyAlignment="1" applyProtection="1">
      <alignment horizontal="center" vertical="center" wrapText="1"/>
      <protection locked="0"/>
    </xf>
    <xf numFmtId="0" fontId="116" fillId="45" borderId="16" xfId="53" applyFont="1" applyFill="1" applyBorder="1" applyAlignment="1">
      <alignment horizontal="center" vertical="center" wrapText="1"/>
    </xf>
    <xf numFmtId="0" fontId="63" fillId="42" borderId="69" xfId="53" applyFont="1" applyFill="1" applyBorder="1" applyAlignment="1">
      <alignment horizontal="center" vertical="center" wrapText="1"/>
    </xf>
    <xf numFmtId="0" fontId="63" fillId="42" borderId="70" xfId="53" applyFont="1" applyFill="1" applyBorder="1" applyAlignment="1">
      <alignment horizontal="center" vertical="center" wrapText="1"/>
    </xf>
    <xf numFmtId="0" fontId="135" fillId="42" borderId="29" xfId="0" applyFont="1" applyFill="1" applyBorder="1" applyAlignment="1">
      <alignment horizontal="center" wrapText="1"/>
    </xf>
    <xf numFmtId="0" fontId="63" fillId="42" borderId="15" xfId="53" applyFont="1" applyFill="1" applyBorder="1" applyAlignment="1">
      <alignment horizontal="center" vertical="center" wrapText="1"/>
    </xf>
    <xf numFmtId="0" fontId="63" fillId="42" borderId="123" xfId="53" applyFont="1" applyFill="1" applyBorder="1" applyAlignment="1">
      <alignment horizontal="center" vertical="center" wrapText="1"/>
    </xf>
    <xf numFmtId="0" fontId="63" fillId="42" borderId="16" xfId="53" applyFont="1" applyFill="1" applyBorder="1" applyAlignment="1">
      <alignment horizontal="center" vertical="center" wrapText="1"/>
    </xf>
    <xf numFmtId="0" fontId="63" fillId="0" borderId="15" xfId="53" applyFont="1" applyFill="1" applyBorder="1" applyAlignment="1" applyProtection="1">
      <alignment horizontal="center" vertical="center" wrapText="1"/>
      <protection locked="0"/>
    </xf>
    <xf numFmtId="0" fontId="63" fillId="45" borderId="14" xfId="53" applyFont="1" applyFill="1" applyBorder="1" applyAlignment="1">
      <alignment wrapText="1"/>
    </xf>
    <xf numFmtId="0" fontId="63" fillId="45" borderId="69" xfId="53" applyFont="1" applyFill="1" applyBorder="1" applyAlignment="1">
      <alignment horizontal="center" vertical="center" wrapText="1"/>
    </xf>
    <xf numFmtId="0" fontId="63" fillId="45" borderId="70" xfId="53" applyFont="1" applyFill="1" applyBorder="1" applyAlignment="1">
      <alignment horizontal="center" vertical="center" wrapText="1"/>
    </xf>
    <xf numFmtId="0" fontId="63" fillId="45" borderId="16" xfId="53" applyFont="1" applyFill="1" applyBorder="1" applyAlignment="1">
      <alignment horizontal="center" wrapText="1"/>
    </xf>
    <xf numFmtId="0" fontId="135" fillId="45" borderId="29" xfId="0" applyFont="1" applyFill="1" applyBorder="1" applyAlignment="1">
      <alignment horizontal="center" wrapText="1"/>
    </xf>
    <xf numFmtId="0" fontId="63" fillId="45" borderId="14" xfId="53" applyFont="1" applyFill="1" applyBorder="1" applyAlignment="1">
      <alignment horizontal="center" vertical="center" wrapText="1"/>
    </xf>
    <xf numFmtId="0" fontId="63" fillId="45" borderId="15" xfId="53" applyFont="1" applyFill="1" applyBorder="1" applyAlignment="1">
      <alignment horizontal="center" vertical="center" wrapText="1"/>
    </xf>
    <xf numFmtId="0" fontId="63" fillId="45" borderId="123" xfId="53" applyFont="1" applyFill="1" applyBorder="1" applyAlignment="1">
      <alignment horizontal="center" vertical="center" wrapText="1"/>
    </xf>
    <xf numFmtId="0" fontId="63" fillId="45" borderId="16" xfId="53" applyFont="1" applyFill="1" applyBorder="1" applyAlignment="1">
      <alignment horizontal="center" vertical="center" wrapText="1"/>
    </xf>
    <xf numFmtId="0" fontId="63" fillId="45" borderId="69" xfId="53" applyFont="1" applyFill="1" applyBorder="1" applyAlignment="1">
      <alignment horizontal="center" wrapText="1"/>
    </xf>
    <xf numFmtId="0" fontId="63" fillId="45" borderId="17" xfId="53" applyFont="1" applyFill="1" applyBorder="1" applyAlignment="1">
      <alignment horizontal="center" wrapText="1"/>
    </xf>
    <xf numFmtId="0" fontId="63" fillId="45" borderId="70" xfId="53" applyFont="1" applyFill="1" applyBorder="1" applyAlignment="1">
      <alignment horizontal="center" wrapText="1"/>
    </xf>
    <xf numFmtId="0" fontId="116" fillId="45" borderId="17" xfId="53" applyFont="1" applyFill="1" applyBorder="1" applyAlignment="1" applyProtection="1">
      <alignment horizontal="center" vertical="center" wrapText="1"/>
      <protection locked="0"/>
    </xf>
    <xf numFmtId="0" fontId="116" fillId="45" borderId="0" xfId="53" applyFont="1" applyFill="1" applyAlignment="1">
      <alignment vertical="center" wrapText="1"/>
    </xf>
    <xf numFmtId="0" fontId="63" fillId="45" borderId="64" xfId="53" applyFont="1" applyFill="1" applyBorder="1" applyAlignment="1" applyProtection="1">
      <alignment horizontal="left" vertical="center" wrapText="1"/>
      <protection locked="0"/>
    </xf>
    <xf numFmtId="0" fontId="63" fillId="45" borderId="67" xfId="53" applyFont="1" applyFill="1" applyBorder="1" applyAlignment="1" applyProtection="1">
      <alignment horizontal="center" vertical="center" wrapText="1"/>
      <protection locked="0"/>
    </xf>
    <xf numFmtId="0" fontId="63" fillId="45" borderId="49" xfId="53" applyFont="1" applyFill="1" applyBorder="1" applyAlignment="1" applyProtection="1">
      <alignment horizontal="center" vertical="center" wrapText="1"/>
      <protection locked="0"/>
    </xf>
    <xf numFmtId="0" fontId="135" fillId="45" borderId="124" xfId="0" applyFont="1" applyFill="1" applyBorder="1" applyAlignment="1" applyProtection="1">
      <alignment horizontal="center" vertical="center" wrapText="1"/>
      <protection locked="0"/>
    </xf>
    <xf numFmtId="0" fontId="63" fillId="0" borderId="49" xfId="53" applyFont="1" applyFill="1" applyBorder="1" applyAlignment="1" applyProtection="1">
      <alignment horizontal="center" vertical="center" wrapText="1"/>
      <protection locked="0"/>
    </xf>
    <xf numFmtId="0" fontId="63" fillId="45" borderId="79" xfId="53" applyFont="1" applyFill="1" applyBorder="1" applyAlignment="1" applyProtection="1">
      <alignment horizontal="center" vertical="center" wrapText="1"/>
      <protection locked="0"/>
    </xf>
    <xf numFmtId="0" fontId="63" fillId="45" borderId="80" xfId="53" applyFont="1" applyFill="1" applyBorder="1" applyAlignment="1" applyProtection="1">
      <alignment horizontal="center" vertical="center" wrapText="1"/>
      <protection locked="0"/>
    </xf>
    <xf numFmtId="0" fontId="63" fillId="45" borderId="93" xfId="53" applyFont="1" applyFill="1" applyBorder="1" applyAlignment="1" applyProtection="1">
      <alignment horizontal="center" vertical="center" wrapText="1"/>
      <protection locked="0"/>
    </xf>
    <xf numFmtId="0" fontId="63" fillId="45" borderId="125" xfId="53" applyFont="1" applyFill="1" applyBorder="1" applyAlignment="1" applyProtection="1">
      <alignment horizontal="center" vertical="center" wrapText="1"/>
      <protection locked="0"/>
    </xf>
    <xf numFmtId="0" fontId="63" fillId="45" borderId="126" xfId="53" applyFont="1" applyFill="1" applyBorder="1" applyAlignment="1" applyProtection="1">
      <alignment horizontal="center" vertical="center" wrapText="1"/>
      <protection locked="0"/>
    </xf>
    <xf numFmtId="0" fontId="63" fillId="45" borderId="82" xfId="53" applyFont="1" applyFill="1" applyBorder="1" applyAlignment="1" applyProtection="1">
      <alignment horizontal="center" vertical="center" wrapText="1"/>
      <protection locked="0"/>
    </xf>
    <xf numFmtId="0" fontId="63" fillId="45" borderId="81" xfId="53" applyFont="1" applyFill="1" applyBorder="1" applyAlignment="1" applyProtection="1">
      <alignment horizontal="center" vertical="center" wrapText="1"/>
      <protection locked="0"/>
    </xf>
    <xf numFmtId="0" fontId="116" fillId="45" borderId="49" xfId="53" applyFont="1" applyFill="1" applyBorder="1" applyAlignment="1" applyProtection="1">
      <alignment horizontal="center" vertical="center" wrapText="1"/>
      <protection locked="0"/>
    </xf>
    <xf numFmtId="0" fontId="105" fillId="45" borderId="70" xfId="183" applyFont="1" applyFill="1" applyBorder="1" applyAlignment="1">
      <alignment horizontal="center" wrapText="1"/>
    </xf>
    <xf numFmtId="0" fontId="114" fillId="0" borderId="46" xfId="61" applyFont="1" applyFill="1" applyBorder="1" applyAlignment="1">
      <alignment horizontal="left" vertical="center"/>
    </xf>
    <xf numFmtId="0" fontId="105" fillId="0" borderId="0" xfId="183" applyFont="1" applyFill="1" applyBorder="1" applyAlignment="1">
      <alignment horizontal="center" vertical="center" wrapText="1"/>
    </xf>
    <xf numFmtId="0" fontId="92" fillId="0" borderId="0" xfId="61" applyFont="1" applyBorder="1" applyAlignment="1">
      <alignment horizontal="center" vertical="center"/>
    </xf>
    <xf numFmtId="0" fontId="94" fillId="0" borderId="0" xfId="53" applyFont="1" applyAlignment="1">
      <alignment horizontal="center" vertical="center" wrapText="1"/>
    </xf>
    <xf numFmtId="0" fontId="63" fillId="0" borderId="0" xfId="53" applyFont="1" applyFill="1" applyBorder="1" applyAlignment="1">
      <alignment horizontal="center" vertical="center"/>
    </xf>
    <xf numFmtId="0" fontId="94" fillId="0" borderId="0" xfId="53" applyFont="1" applyBorder="1" applyAlignment="1">
      <alignment horizontal="center" vertical="center"/>
    </xf>
    <xf numFmtId="0" fontId="63" fillId="0" borderId="0" xfId="53" applyFont="1" applyFill="1" applyBorder="1" applyAlignment="1">
      <alignment wrapText="1"/>
    </xf>
    <xf numFmtId="0" fontId="94" fillId="0" borderId="0" xfId="53" applyFont="1" applyBorder="1" applyAlignment="1">
      <alignment horizontal="center" vertical="center" wrapText="1"/>
    </xf>
    <xf numFmtId="0" fontId="94" fillId="0" borderId="35" xfId="53" applyFont="1" applyFill="1" applyBorder="1" applyAlignment="1">
      <alignment wrapText="1"/>
    </xf>
    <xf numFmtId="0" fontId="63" fillId="43" borderId="69" xfId="53" applyFont="1" applyFill="1" applyBorder="1" applyAlignment="1">
      <alignment horizontal="center" vertical="center" wrapText="1"/>
    </xf>
    <xf numFmtId="0" fontId="63" fillId="43" borderId="70" xfId="53" applyFont="1" applyFill="1" applyBorder="1" applyAlignment="1">
      <alignment horizontal="center" vertical="center" wrapText="1"/>
    </xf>
    <xf numFmtId="0" fontId="63" fillId="43" borderId="127" xfId="53" applyFont="1" applyFill="1" applyBorder="1" applyAlignment="1">
      <alignment horizontal="center" vertical="center" wrapText="1"/>
    </xf>
    <xf numFmtId="0" fontId="63" fillId="43" borderId="15" xfId="53" applyFont="1" applyFill="1" applyBorder="1" applyAlignment="1">
      <alignment horizontal="center" vertical="center" wrapText="1"/>
    </xf>
    <xf numFmtId="0" fontId="63" fillId="43" borderId="123" xfId="53" applyFont="1" applyFill="1" applyBorder="1" applyAlignment="1">
      <alignment horizontal="center" vertical="center" wrapText="1"/>
    </xf>
    <xf numFmtId="0" fontId="116" fillId="43" borderId="17" xfId="53" applyFont="1" applyFill="1" applyBorder="1" applyAlignment="1">
      <alignment horizontal="center" vertical="center" wrapText="1"/>
    </xf>
    <xf numFmtId="0" fontId="63" fillId="43" borderId="127" xfId="53" applyFont="1" applyFill="1" applyBorder="1" applyAlignment="1" applyProtection="1">
      <alignment horizontal="center" vertical="center" wrapText="1"/>
      <protection locked="0"/>
    </xf>
    <xf numFmtId="0" fontId="63" fillId="0" borderId="69" xfId="53" applyFont="1" applyBorder="1" applyAlignment="1">
      <alignment horizontal="center" wrapText="1"/>
    </xf>
    <xf numFmtId="0" fontId="63" fillId="0" borderId="17" xfId="53" applyFont="1" applyBorder="1" applyAlignment="1">
      <alignment horizontal="center" wrapText="1"/>
    </xf>
    <xf numFmtId="0" fontId="63" fillId="0" borderId="70" xfId="53" applyFont="1" applyBorder="1" applyAlignment="1">
      <alignment horizontal="center" wrapText="1"/>
    </xf>
    <xf numFmtId="0" fontId="63" fillId="0" borderId="69" xfId="53" applyFont="1" applyFill="1" applyBorder="1" applyAlignment="1">
      <alignment horizontal="center" wrapText="1"/>
    </xf>
    <xf numFmtId="0" fontId="94" fillId="0" borderId="0" xfId="53" applyFont="1" applyFill="1" applyAlignment="1">
      <alignment horizontal="center" wrapText="1"/>
    </xf>
    <xf numFmtId="0" fontId="94" fillId="40" borderId="17" xfId="53" applyFont="1" applyFill="1" applyBorder="1" applyAlignment="1" applyProtection="1">
      <alignment horizontal="left" vertical="center" wrapText="1"/>
      <protection locked="0"/>
    </xf>
    <xf numFmtId="0" fontId="115" fillId="40" borderId="17" xfId="183" applyFont="1" applyFill="1" applyBorder="1" applyAlignment="1">
      <alignment horizontal="center" vertical="center" wrapText="1"/>
    </xf>
    <xf numFmtId="0" fontId="115" fillId="0" borderId="17" xfId="183" applyFont="1" applyFill="1" applyBorder="1" applyAlignment="1">
      <alignment horizontal="center" vertical="center" wrapText="1"/>
    </xf>
    <xf numFmtId="0" fontId="94" fillId="40" borderId="17" xfId="53" applyFont="1" applyFill="1" applyBorder="1" applyAlignment="1" applyProtection="1">
      <alignment horizontal="center" vertical="center" wrapText="1"/>
      <protection locked="0"/>
    </xf>
    <xf numFmtId="0" fontId="94" fillId="40" borderId="14" xfId="53" applyFont="1" applyFill="1" applyBorder="1" applyAlignment="1" applyProtection="1">
      <alignment horizontal="center" vertical="center" wrapText="1"/>
      <protection locked="0"/>
    </xf>
    <xf numFmtId="0" fontId="94" fillId="40" borderId="69" xfId="53" applyFont="1" applyFill="1" applyBorder="1" applyAlignment="1" applyProtection="1">
      <alignment horizontal="center" vertical="center" wrapText="1"/>
      <protection locked="0"/>
    </xf>
    <xf numFmtId="0" fontId="94" fillId="40" borderId="70" xfId="53" applyFont="1" applyFill="1" applyBorder="1" applyAlignment="1" applyProtection="1">
      <alignment horizontal="center" vertical="center" wrapText="1"/>
      <protection locked="0"/>
    </xf>
    <xf numFmtId="0" fontId="94" fillId="0" borderId="69" xfId="53" applyFont="1" applyFill="1" applyBorder="1" applyAlignment="1" applyProtection="1">
      <alignment horizontal="center" vertical="center" wrapText="1"/>
      <protection locked="0"/>
    </xf>
    <xf numFmtId="0" fontId="94" fillId="40" borderId="16" xfId="53" applyFont="1" applyFill="1" applyBorder="1" applyAlignment="1" applyProtection="1">
      <alignment horizontal="center" vertical="center" wrapText="1"/>
      <protection locked="0"/>
    </xf>
    <xf numFmtId="0" fontId="121" fillId="40" borderId="17" xfId="53" applyFont="1" applyFill="1" applyBorder="1" applyAlignment="1">
      <alignment horizontal="center" vertical="center" wrapText="1"/>
    </xf>
    <xf numFmtId="0" fontId="121" fillId="40" borderId="17" xfId="53" applyFont="1" applyFill="1" applyBorder="1" applyAlignment="1">
      <alignment vertical="center" wrapText="1"/>
    </xf>
    <xf numFmtId="0" fontId="94" fillId="40" borderId="17" xfId="53" applyFont="1" applyFill="1" applyBorder="1" applyAlignment="1">
      <alignment vertical="center" wrapText="1"/>
    </xf>
    <xf numFmtId="0" fontId="5" fillId="0" borderId="17" xfId="70" applyFont="1" applyBorder="1" applyAlignment="1">
      <alignment horizontal="left" wrapText="1"/>
    </xf>
    <xf numFmtId="0" fontId="5" fillId="0" borderId="17" xfId="70" applyFont="1" applyBorder="1" applyAlignment="1">
      <alignment horizontal="left"/>
    </xf>
    <xf numFmtId="0" fontId="4" fillId="54" borderId="35" xfId="191" applyFont="1" applyFill="1" applyBorder="1" applyAlignment="1">
      <alignment horizontal="center"/>
    </xf>
    <xf numFmtId="0" fontId="4" fillId="39" borderId="35" xfId="191" applyFont="1" applyFill="1" applyBorder="1" applyAlignment="1">
      <alignment horizontal="center" vertical="center"/>
    </xf>
    <xf numFmtId="0" fontId="65" fillId="39" borderId="35" xfId="191" applyFont="1" applyFill="1" applyBorder="1" applyAlignment="1">
      <alignment horizontal="center" vertical="center"/>
    </xf>
    <xf numFmtId="0" fontId="4" fillId="0" borderId="35" xfId="191" applyFont="1" applyFill="1" applyBorder="1" applyAlignment="1">
      <alignment horizontal="center" vertical="center"/>
    </xf>
    <xf numFmtId="0" fontId="4" fillId="0" borderId="35" xfId="191" applyFont="1" applyBorder="1"/>
    <xf numFmtId="0" fontId="4" fillId="0" borderId="0" xfId="191" applyFont="1" applyAlignment="1">
      <alignment horizontal="center"/>
    </xf>
    <xf numFmtId="0" fontId="101" fillId="0" borderId="0" xfId="190" applyFont="1"/>
    <xf numFmtId="0" fontId="65" fillId="0" borderId="0" xfId="191" applyFont="1"/>
    <xf numFmtId="0" fontId="101" fillId="0" borderId="0" xfId="190" applyFont="1" applyFill="1" applyAlignment="1">
      <alignment vertical="center"/>
    </xf>
    <xf numFmtId="0" fontId="4" fillId="0" borderId="0" xfId="191" applyFont="1" applyAlignment="1">
      <alignment vertical="center"/>
    </xf>
    <xf numFmtId="0" fontId="4" fillId="0" borderId="0" xfId="191" applyFont="1"/>
    <xf numFmtId="0" fontId="65" fillId="0" borderId="0" xfId="191" applyFont="1" applyFill="1"/>
    <xf numFmtId="0" fontId="101" fillId="0" borderId="0" xfId="190" applyFont="1" applyFill="1"/>
    <xf numFmtId="0" fontId="4" fillId="0" borderId="0" xfId="191" applyFont="1" applyFill="1"/>
    <xf numFmtId="0" fontId="101" fillId="0" borderId="0" xfId="190" applyFont="1" applyAlignment="1">
      <alignment vertical="center"/>
    </xf>
    <xf numFmtId="0" fontId="55" fillId="0" borderId="0" xfId="191" applyFont="1" applyAlignment="1">
      <alignment vertical="center"/>
    </xf>
    <xf numFmtId="0" fontId="65" fillId="0" borderId="0" xfId="191" applyFont="1" applyFill="1" applyBorder="1"/>
    <xf numFmtId="0" fontId="65" fillId="0" borderId="0" xfId="191" applyFont="1" applyBorder="1"/>
    <xf numFmtId="0" fontId="65" fillId="0" borderId="0" xfId="191" applyFont="1" applyFill="1" applyAlignment="1">
      <alignment vertical="center"/>
    </xf>
    <xf numFmtId="0" fontId="65" fillId="41" borderId="0" xfId="191" applyFont="1" applyFill="1" applyAlignment="1">
      <alignment vertical="center"/>
    </xf>
    <xf numFmtId="0" fontId="55" fillId="0" borderId="0" xfId="191" applyFont="1"/>
    <xf numFmtId="0" fontId="65" fillId="0" borderId="0" xfId="191" applyFont="1" applyAlignment="1">
      <alignment wrapText="1"/>
    </xf>
    <xf numFmtId="0" fontId="136" fillId="0" borderId="0" xfId="191" applyFont="1"/>
    <xf numFmtId="0" fontId="4" fillId="0" borderId="0" xfId="191" applyFont="1" applyFill="1" applyAlignment="1">
      <alignment horizontal="center"/>
    </xf>
    <xf numFmtId="0" fontId="137" fillId="0" borderId="0" xfId="191" applyFont="1"/>
    <xf numFmtId="0" fontId="65" fillId="0" borderId="0" xfId="191" applyFont="1" applyBorder="1" applyAlignment="1">
      <alignment horizontal="left" wrapText="1"/>
    </xf>
    <xf numFmtId="0" fontId="65" fillId="0" borderId="0" xfId="191" applyFont="1" applyFill="1" applyAlignment="1">
      <alignment horizontal="left" vertical="center" wrapText="1"/>
    </xf>
    <xf numFmtId="0" fontId="65" fillId="0" borderId="0" xfId="191" applyFont="1" applyAlignment="1">
      <alignment vertical="center" wrapText="1"/>
    </xf>
    <xf numFmtId="0" fontId="55" fillId="0" borderId="0" xfId="191" applyFont="1" applyFill="1"/>
    <xf numFmtId="0" fontId="65" fillId="0" borderId="0" xfId="191" applyFont="1" applyAlignment="1">
      <alignment vertical="center"/>
    </xf>
    <xf numFmtId="0" fontId="138" fillId="0" borderId="0" xfId="191" applyFont="1"/>
    <xf numFmtId="0" fontId="139" fillId="0" borderId="0" xfId="0" applyFont="1"/>
    <xf numFmtId="0" fontId="55" fillId="0" borderId="0" xfId="0" applyFont="1" applyAlignment="1">
      <alignment vertical="center"/>
    </xf>
    <xf numFmtId="0" fontId="3" fillId="0" borderId="0" xfId="191" applyFont="1" applyAlignment="1">
      <alignment horizontal="center"/>
    </xf>
    <xf numFmtId="0" fontId="2" fillId="41" borderId="0" xfId="57" applyFont="1" applyFill="1"/>
    <xf numFmtId="0" fontId="2" fillId="0" borderId="0" xfId="57" applyFont="1"/>
    <xf numFmtId="0" fontId="2" fillId="0" borderId="0" xfId="191" applyFont="1" applyAlignment="1">
      <alignment horizontal="center"/>
    </xf>
    <xf numFmtId="0" fontId="48" fillId="0" borderId="53" xfId="69" applyFont="1" applyBorder="1" applyAlignment="1">
      <alignment horizontal="center"/>
    </xf>
    <xf numFmtId="0" fontId="48" fillId="0" borderId="54" xfId="69" applyFont="1" applyBorder="1" applyAlignment="1">
      <alignment horizontal="center"/>
    </xf>
    <xf numFmtId="0" fontId="48" fillId="0" borderId="52" xfId="69" applyFont="1" applyBorder="1" applyAlignment="1">
      <alignment horizontal="center"/>
    </xf>
    <xf numFmtId="0" fontId="48" fillId="0" borderId="17" xfId="69" applyFont="1" applyBorder="1" applyAlignment="1">
      <alignment horizontal="center"/>
    </xf>
    <xf numFmtId="0" fontId="91" fillId="51" borderId="52" xfId="69" applyFont="1" applyFill="1" applyBorder="1" applyAlignment="1">
      <alignment horizontal="center" vertical="center"/>
    </xf>
    <xf numFmtId="0" fontId="91" fillId="51" borderId="41" xfId="69" applyFont="1" applyFill="1" applyBorder="1" applyAlignment="1">
      <alignment horizontal="center" vertical="center"/>
    </xf>
    <xf numFmtId="0" fontId="91" fillId="40" borderId="41" xfId="69" applyFont="1" applyFill="1" applyBorder="1" applyAlignment="1">
      <alignment horizontal="center" vertical="center"/>
    </xf>
    <xf numFmtId="0" fontId="91" fillId="36" borderId="41" xfId="69" applyFont="1" applyFill="1" applyBorder="1" applyAlignment="1">
      <alignment horizontal="center" vertical="center"/>
    </xf>
    <xf numFmtId="0" fontId="91" fillId="34" borderId="41" xfId="69" applyFont="1" applyFill="1" applyBorder="1" applyAlignment="1">
      <alignment horizontal="center" vertical="center"/>
    </xf>
    <xf numFmtId="0" fontId="91" fillId="35" borderId="41" xfId="69" applyFont="1" applyFill="1" applyBorder="1" applyAlignment="1">
      <alignment horizontal="center" vertical="center" wrapText="1"/>
    </xf>
    <xf numFmtId="0" fontId="91" fillId="34" borderId="53" xfId="69" applyFont="1" applyFill="1" applyBorder="1" applyAlignment="1">
      <alignment horizontal="center" vertical="center" wrapText="1"/>
    </xf>
    <xf numFmtId="0" fontId="91" fillId="34" borderId="52" xfId="69" applyFont="1" applyFill="1" applyBorder="1" applyAlignment="1">
      <alignment horizontal="center" vertical="center" wrapText="1"/>
    </xf>
    <xf numFmtId="0" fontId="91" fillId="34" borderId="41" xfId="69" applyFont="1" applyFill="1" applyBorder="1" applyAlignment="1">
      <alignment horizontal="center" vertical="center" wrapText="1"/>
    </xf>
    <xf numFmtId="0" fontId="91" fillId="34" borderId="41" xfId="69" applyFont="1" applyFill="1" applyBorder="1" applyAlignment="1">
      <alignment horizontal="left" vertical="center" wrapText="1"/>
    </xf>
    <xf numFmtId="0" fontId="91" fillId="34" borderId="52" xfId="69" applyFont="1" applyFill="1" applyBorder="1" applyAlignment="1">
      <alignment horizontal="center" wrapText="1"/>
    </xf>
    <xf numFmtId="0" fontId="91" fillId="34" borderId="41" xfId="69" applyFont="1" applyFill="1" applyBorder="1" applyAlignment="1">
      <alignment horizontal="center" wrapText="1"/>
    </xf>
    <xf numFmtId="0" fontId="45" fillId="50" borderId="41" xfId="69" applyFont="1" applyFill="1" applyBorder="1" applyAlignment="1">
      <alignment horizontal="center"/>
    </xf>
    <xf numFmtId="0" fontId="91" fillId="44" borderId="54" xfId="69" applyFont="1" applyFill="1" applyBorder="1" applyAlignment="1">
      <alignment horizontal="center" vertical="center" wrapText="1"/>
    </xf>
    <xf numFmtId="0" fontId="91" fillId="44" borderId="52" xfId="69" applyFont="1" applyFill="1" applyBorder="1" applyAlignment="1">
      <alignment horizontal="center" vertical="center" wrapText="1"/>
    </xf>
    <xf numFmtId="0" fontId="91" fillId="44" borderId="53" xfId="69" applyFont="1" applyFill="1" applyBorder="1" applyAlignment="1">
      <alignment horizontal="center" vertical="center" wrapText="1"/>
    </xf>
    <xf numFmtId="0" fontId="91" fillId="37" borderId="53" xfId="69" applyFont="1" applyFill="1" applyBorder="1" applyAlignment="1">
      <alignment horizontal="center" wrapText="1"/>
    </xf>
    <xf numFmtId="0" fontId="91" fillId="37" borderId="54" xfId="69" applyFont="1" applyFill="1" applyBorder="1" applyAlignment="1">
      <alignment horizontal="center" wrapText="1"/>
    </xf>
    <xf numFmtId="0" fontId="91" fillId="37" borderId="52" xfId="69" applyFont="1" applyFill="1" applyBorder="1" applyAlignment="1">
      <alignment horizontal="center" wrapText="1"/>
    </xf>
    <xf numFmtId="0" fontId="91" fillId="37" borderId="53" xfId="69" applyFont="1" applyFill="1" applyBorder="1" applyAlignment="1">
      <alignment horizontal="center" vertical="center" wrapText="1"/>
    </xf>
    <xf numFmtId="0" fontId="91" fillId="37" borderId="54" xfId="69" applyFont="1" applyFill="1" applyBorder="1" applyAlignment="1">
      <alignment horizontal="center" vertical="center" wrapText="1"/>
    </xf>
    <xf numFmtId="0" fontId="91" fillId="37" borderId="52" xfId="69" applyFont="1" applyFill="1" applyBorder="1" applyAlignment="1">
      <alignment horizontal="center" vertical="center" wrapText="1"/>
    </xf>
    <xf numFmtId="0" fontId="127" fillId="50" borderId="41" xfId="69" applyFont="1" applyFill="1" applyBorder="1" applyAlignment="1">
      <alignment horizontal="center" vertical="center" wrapText="1"/>
    </xf>
    <xf numFmtId="0" fontId="127" fillId="50" borderId="41" xfId="69" applyFont="1" applyFill="1" applyBorder="1" applyAlignment="1">
      <alignment horizontal="center" wrapText="1"/>
    </xf>
    <xf numFmtId="0" fontId="48" fillId="43" borderId="53" xfId="69" applyFont="1" applyFill="1" applyBorder="1" applyAlignment="1">
      <alignment horizontal="center" wrapText="1"/>
    </xf>
    <xf numFmtId="0" fontId="48" fillId="43" borderId="54" xfId="69" applyFont="1" applyFill="1" applyBorder="1" applyAlignment="1">
      <alignment horizontal="center" wrapText="1"/>
    </xf>
    <xf numFmtId="0" fontId="48" fillId="43" borderId="94" xfId="69" applyFont="1" applyFill="1" applyBorder="1" applyAlignment="1">
      <alignment horizontal="center" wrapText="1"/>
    </xf>
    <xf numFmtId="0" fontId="127" fillId="50" borderId="47" xfId="69" applyFont="1" applyFill="1" applyBorder="1" applyAlignment="1">
      <alignment horizontal="center"/>
    </xf>
    <xf numFmtId="0" fontId="127" fillId="50" borderId="47" xfId="69" applyFont="1" applyFill="1" applyBorder="1" applyAlignment="1">
      <alignment horizontal="center" vertical="center" wrapText="1"/>
    </xf>
    <xf numFmtId="0" fontId="127" fillId="50" borderId="14" xfId="69" applyFont="1" applyFill="1" applyBorder="1" applyAlignment="1">
      <alignment horizontal="center"/>
    </xf>
    <xf numFmtId="0" fontId="127" fillId="50" borderId="15" xfId="69" applyFont="1" applyFill="1" applyBorder="1" applyAlignment="1">
      <alignment horizontal="center"/>
    </xf>
    <xf numFmtId="0" fontId="127" fillId="50" borderId="16" xfId="69" applyFont="1" applyFill="1" applyBorder="1" applyAlignment="1">
      <alignment horizontal="center"/>
    </xf>
    <xf numFmtId="0" fontId="91" fillId="48" borderId="53" xfId="69" applyFont="1" applyFill="1" applyBorder="1" applyAlignment="1">
      <alignment horizontal="center" vertical="center"/>
    </xf>
    <xf numFmtId="0" fontId="91" fillId="48" borderId="54" xfId="69" applyFont="1" applyFill="1" applyBorder="1" applyAlignment="1">
      <alignment horizontal="center" vertical="center"/>
    </xf>
    <xf numFmtId="0" fontId="91" fillId="48" borderId="52" xfId="69" applyFont="1" applyFill="1" applyBorder="1" applyAlignment="1">
      <alignment horizontal="center" vertical="center"/>
    </xf>
    <xf numFmtId="0" fontId="99" fillId="45" borderId="41" xfId="69" applyFont="1" applyFill="1" applyBorder="1" applyAlignment="1">
      <alignment horizontal="center" vertical="center" wrapText="1"/>
    </xf>
    <xf numFmtId="0" fontId="126" fillId="45" borderId="53" xfId="69" applyFont="1" applyFill="1" applyBorder="1" applyAlignment="1">
      <alignment horizontal="center" vertical="center" wrapText="1"/>
    </xf>
    <xf numFmtId="0" fontId="126" fillId="45" borderId="54" xfId="69" applyFont="1" applyFill="1" applyBorder="1" applyAlignment="1">
      <alignment horizontal="center" vertical="center" wrapText="1"/>
    </xf>
    <xf numFmtId="0" fontId="126" fillId="45" borderId="52" xfId="69" applyFont="1" applyFill="1" applyBorder="1" applyAlignment="1">
      <alignment horizontal="center" vertical="center" wrapText="1"/>
    </xf>
    <xf numFmtId="0" fontId="99" fillId="45" borderId="53" xfId="69" applyFont="1" applyFill="1" applyBorder="1" applyAlignment="1">
      <alignment horizontal="center" vertical="center" wrapText="1"/>
    </xf>
    <xf numFmtId="0" fontId="99" fillId="45" borderId="54" xfId="69" applyFont="1" applyFill="1" applyBorder="1" applyAlignment="1">
      <alignment horizontal="center" vertical="center" wrapText="1"/>
    </xf>
    <xf numFmtId="0" fontId="127" fillId="50" borderId="97" xfId="69" applyFont="1" applyFill="1" applyBorder="1" applyAlignment="1">
      <alignment horizontal="center" vertical="center" wrapText="1"/>
    </xf>
    <xf numFmtId="0" fontId="127" fillId="50" borderId="41" xfId="69" applyFont="1" applyFill="1" applyBorder="1" applyAlignment="1">
      <alignment horizontal="center" vertical="center"/>
    </xf>
    <xf numFmtId="0" fontId="127" fillId="50" borderId="53" xfId="69" applyFont="1" applyFill="1" applyBorder="1" applyAlignment="1">
      <alignment horizontal="center" vertical="center" wrapText="1"/>
    </xf>
    <xf numFmtId="0" fontId="127" fillId="50" borderId="52" xfId="69" applyFont="1" applyFill="1" applyBorder="1" applyAlignment="1">
      <alignment horizontal="center" vertical="center" wrapText="1"/>
    </xf>
    <xf numFmtId="0" fontId="127" fillId="50" borderId="53" xfId="69" applyFont="1" applyFill="1" applyBorder="1" applyAlignment="1">
      <alignment horizontal="center" wrapText="1"/>
    </xf>
    <xf numFmtId="0" fontId="127" fillId="50" borderId="52" xfId="69" applyFont="1" applyFill="1" applyBorder="1" applyAlignment="1">
      <alignment horizontal="center" wrapText="1"/>
    </xf>
    <xf numFmtId="0" fontId="110" fillId="0" borderId="59" xfId="68" applyFont="1" applyBorder="1" applyAlignment="1">
      <alignment horizontal="center" vertical="center"/>
    </xf>
    <xf numFmtId="0" fontId="110" fillId="0" borderId="60" xfId="68" applyFont="1" applyBorder="1" applyAlignment="1">
      <alignment horizontal="center" vertical="center"/>
    </xf>
    <xf numFmtId="0" fontId="110" fillId="0" borderId="61" xfId="68" applyFont="1" applyBorder="1" applyAlignment="1">
      <alignment horizontal="center" vertical="center"/>
    </xf>
    <xf numFmtId="0" fontId="94" fillId="0" borderId="17" xfId="53" applyFont="1" applyFill="1" applyBorder="1" applyAlignment="1" applyProtection="1">
      <alignment horizontal="center" vertical="center" wrapText="1"/>
      <protection locked="0"/>
    </xf>
    <xf numFmtId="0" fontId="132" fillId="0" borderId="17" xfId="53" applyFont="1" applyFill="1" applyBorder="1" applyAlignment="1">
      <alignment vertical="center" wrapText="1"/>
    </xf>
    <xf numFmtId="0" fontId="132" fillId="0" borderId="17" xfId="53" applyFont="1" applyFill="1" applyBorder="1" applyAlignment="1" applyProtection="1">
      <alignment vertical="center" wrapText="1"/>
      <protection locked="0"/>
    </xf>
    <xf numFmtId="0" fontId="94" fillId="0" borderId="17" xfId="53" applyFont="1" applyFill="1" applyBorder="1" applyAlignment="1" applyProtection="1">
      <alignment horizontal="left" vertical="center" wrapText="1"/>
      <protection locked="0"/>
    </xf>
    <xf numFmtId="0" fontId="94" fillId="0" borderId="17" xfId="53" applyFont="1" applyFill="1" applyBorder="1" applyAlignment="1" applyProtection="1">
      <alignment vertical="center" wrapText="1"/>
      <protection locked="0"/>
    </xf>
    <xf numFmtId="0" fontId="94" fillId="0" borderId="0" xfId="53" applyFont="1" applyFill="1" applyBorder="1" applyAlignment="1">
      <alignment horizontal="right" vertical="center" wrapText="1"/>
    </xf>
    <xf numFmtId="0" fontId="94" fillId="0" borderId="17" xfId="53" applyFont="1" applyFill="1" applyBorder="1" applyAlignment="1">
      <alignment horizontal="left" vertical="center" wrapText="1"/>
    </xf>
    <xf numFmtId="0" fontId="118" fillId="0" borderId="17" xfId="53" applyFont="1" applyFill="1" applyBorder="1" applyAlignment="1">
      <alignment horizontal="right" vertical="center" wrapText="1"/>
    </xf>
    <xf numFmtId="0" fontId="94" fillId="0" borderId="17" xfId="53" applyFont="1" applyFill="1" applyBorder="1" applyAlignment="1">
      <alignment horizontal="center" vertical="center" wrapText="1"/>
    </xf>
    <xf numFmtId="0" fontId="94" fillId="45" borderId="17" xfId="53" applyFont="1" applyFill="1" applyBorder="1" applyAlignment="1" applyProtection="1">
      <alignment horizontal="center" vertical="center" wrapText="1"/>
      <protection locked="0"/>
    </xf>
    <xf numFmtId="0" fontId="94" fillId="45" borderId="44" xfId="53" applyFont="1" applyFill="1" applyBorder="1" applyAlignment="1" applyProtection="1">
      <alignment horizontal="center" vertical="center" wrapText="1"/>
      <protection locked="0"/>
    </xf>
    <xf numFmtId="0" fontId="94" fillId="45" borderId="45" xfId="53" applyFont="1" applyFill="1" applyBorder="1" applyAlignment="1" applyProtection="1">
      <alignment horizontal="center" vertical="center" wrapText="1"/>
      <protection locked="0"/>
    </xf>
    <xf numFmtId="0" fontId="94" fillId="45" borderId="43" xfId="53" applyFont="1" applyFill="1" applyBorder="1" applyAlignment="1" applyProtection="1">
      <alignment horizontal="center" vertical="center" wrapText="1"/>
      <protection locked="0"/>
    </xf>
    <xf numFmtId="0" fontId="116" fillId="45" borderId="44" xfId="53" applyFont="1" applyFill="1" applyBorder="1" applyAlignment="1">
      <alignment vertical="center" wrapText="1"/>
    </xf>
    <xf numFmtId="0" fontId="116" fillId="45" borderId="43" xfId="53" applyFont="1" applyFill="1" applyBorder="1" applyAlignment="1">
      <alignment vertical="center" wrapText="1"/>
    </xf>
    <xf numFmtId="0" fontId="94" fillId="42" borderId="17" xfId="53" applyFont="1" applyFill="1" applyBorder="1" applyAlignment="1" applyProtection="1">
      <alignment horizontal="center" vertical="center" wrapText="1"/>
      <protection locked="0"/>
    </xf>
    <xf numFmtId="0" fontId="63" fillId="34" borderId="44" xfId="53" applyFont="1" applyFill="1" applyBorder="1" applyAlignment="1">
      <alignment vertical="center" wrapText="1"/>
    </xf>
    <xf numFmtId="0" fontId="63" fillId="34" borderId="45" xfId="53" applyFont="1" applyFill="1" applyBorder="1" applyAlignment="1">
      <alignment vertical="center" wrapText="1"/>
    </xf>
    <xf numFmtId="0" fontId="63" fillId="34" borderId="43" xfId="53" applyFont="1" applyFill="1" applyBorder="1" applyAlignment="1">
      <alignment vertical="center" wrapText="1"/>
    </xf>
    <xf numFmtId="0" fontId="94" fillId="34" borderId="64" xfId="53" applyFont="1" applyFill="1" applyBorder="1" applyAlignment="1" applyProtection="1">
      <alignment horizontal="left" vertical="center" wrapText="1"/>
      <protection locked="0"/>
    </xf>
    <xf numFmtId="0" fontId="94" fillId="34" borderId="55" xfId="53" applyFont="1" applyFill="1" applyBorder="1" applyAlignment="1" applyProtection="1">
      <alignment horizontal="left" vertical="center" wrapText="1"/>
      <protection locked="0"/>
    </xf>
    <xf numFmtId="0" fontId="94" fillId="34" borderId="63" xfId="53" applyFont="1" applyFill="1" applyBorder="1" applyAlignment="1" applyProtection="1">
      <alignment horizontal="left" vertical="center" wrapText="1"/>
      <protection locked="0"/>
    </xf>
    <xf numFmtId="0" fontId="116" fillId="34" borderId="44" xfId="53" applyFont="1" applyFill="1" applyBorder="1" applyAlignment="1" applyProtection="1">
      <alignment horizontal="center" vertical="center" wrapText="1"/>
      <protection locked="0"/>
    </xf>
    <xf numFmtId="0" fontId="116" fillId="34" borderId="45" xfId="53" applyFont="1" applyFill="1" applyBorder="1" applyAlignment="1" applyProtection="1">
      <alignment horizontal="center" vertical="center" wrapText="1"/>
      <protection locked="0"/>
    </xf>
    <xf numFmtId="0" fontId="116" fillId="34" borderId="43" xfId="53" applyFont="1" applyFill="1" applyBorder="1" applyAlignment="1" applyProtection="1">
      <alignment horizontal="center" vertical="center" wrapText="1"/>
      <protection locked="0"/>
    </xf>
    <xf numFmtId="0" fontId="94" fillId="35" borderId="44" xfId="53" applyFont="1" applyFill="1" applyBorder="1" applyAlignment="1" applyProtection="1">
      <alignment horizontal="center" vertical="center" wrapText="1"/>
      <protection locked="0"/>
    </xf>
    <xf numFmtId="0" fontId="94" fillId="35" borderId="45" xfId="53" applyFont="1" applyFill="1" applyBorder="1" applyAlignment="1" applyProtection="1">
      <alignment horizontal="center" vertical="center" wrapText="1"/>
      <protection locked="0"/>
    </xf>
    <xf numFmtId="0" fontId="94" fillId="35" borderId="43" xfId="53" applyFont="1" applyFill="1" applyBorder="1" applyAlignment="1" applyProtection="1">
      <alignment horizontal="center" vertical="center" wrapText="1"/>
      <protection locked="0"/>
    </xf>
    <xf numFmtId="0" fontId="94" fillId="35" borderId="44" xfId="53" applyFont="1" applyFill="1" applyBorder="1" applyAlignment="1" applyProtection="1">
      <alignment horizontal="left" vertical="center" wrapText="1"/>
      <protection locked="0"/>
    </xf>
    <xf numFmtId="0" fontId="94" fillId="35" borderId="45" xfId="53" applyFont="1" applyFill="1" applyBorder="1" applyAlignment="1" applyProtection="1">
      <alignment horizontal="left" vertical="center" wrapText="1"/>
      <protection locked="0"/>
    </xf>
    <xf numFmtId="0" fontId="94" fillId="35" borderId="43" xfId="53" applyFont="1" applyFill="1" applyBorder="1" applyAlignment="1" applyProtection="1">
      <alignment horizontal="left" vertical="center" wrapText="1"/>
      <protection locked="0"/>
    </xf>
    <xf numFmtId="0" fontId="116" fillId="35" borderId="44" xfId="53" applyFont="1" applyFill="1" applyBorder="1" applyAlignment="1" applyProtection="1">
      <alignment horizontal="center" vertical="center" wrapText="1"/>
      <protection locked="0"/>
    </xf>
    <xf numFmtId="0" fontId="116" fillId="35" borderId="45" xfId="53" applyFont="1" applyFill="1" applyBorder="1" applyAlignment="1" applyProtection="1">
      <alignment horizontal="center" vertical="center" wrapText="1"/>
      <protection locked="0"/>
    </xf>
    <xf numFmtId="0" fontId="116" fillId="35" borderId="43" xfId="53" applyFont="1" applyFill="1" applyBorder="1" applyAlignment="1" applyProtection="1">
      <alignment horizontal="center" vertical="center" wrapText="1"/>
      <protection locked="0"/>
    </xf>
    <xf numFmtId="0" fontId="116" fillId="35" borderId="44" xfId="53" applyFont="1" applyFill="1" applyBorder="1" applyAlignment="1" applyProtection="1">
      <alignment vertical="center" wrapText="1"/>
      <protection locked="0"/>
    </xf>
    <xf numFmtId="0" fontId="116" fillId="35" borderId="45" xfId="53" applyFont="1" applyFill="1" applyBorder="1" applyAlignment="1" applyProtection="1">
      <alignment vertical="center" wrapText="1"/>
      <protection locked="0"/>
    </xf>
    <xf numFmtId="0" fontId="116" fillId="35" borderId="43" xfId="53" applyFont="1" applyFill="1" applyBorder="1" applyAlignment="1" applyProtection="1">
      <alignment vertical="center" wrapText="1"/>
      <protection locked="0"/>
    </xf>
    <xf numFmtId="0" fontId="94" fillId="44" borderId="44" xfId="53" applyFont="1" applyFill="1" applyBorder="1" applyAlignment="1" applyProtection="1">
      <alignment horizontal="center" vertical="center" wrapText="1"/>
      <protection locked="0"/>
    </xf>
    <xf numFmtId="0" fontId="94" fillId="44" borderId="45" xfId="53" applyFont="1" applyFill="1" applyBorder="1" applyAlignment="1" applyProtection="1">
      <alignment horizontal="center" vertical="center" wrapText="1"/>
      <protection locked="0"/>
    </xf>
    <xf numFmtId="0" fontId="94" fillId="44" borderId="43" xfId="53" applyFont="1" applyFill="1" applyBorder="1" applyAlignment="1" applyProtection="1">
      <alignment horizontal="center" vertical="center" wrapText="1"/>
      <protection locked="0"/>
    </xf>
    <xf numFmtId="0" fontId="94" fillId="44" borderId="44" xfId="53" applyFont="1" applyFill="1" applyBorder="1" applyAlignment="1" applyProtection="1">
      <alignment horizontal="left" vertical="center" wrapText="1"/>
      <protection locked="0"/>
    </xf>
    <xf numFmtId="0" fontId="94" fillId="44" borderId="45" xfId="53" applyFont="1" applyFill="1" applyBorder="1" applyAlignment="1" applyProtection="1">
      <alignment horizontal="left" vertical="center" wrapText="1"/>
      <protection locked="0"/>
    </xf>
    <xf numFmtId="0" fontId="94" fillId="44" borderId="43" xfId="53" applyFont="1" applyFill="1" applyBorder="1" applyAlignment="1" applyProtection="1">
      <alignment horizontal="left" vertical="center" wrapText="1"/>
      <protection locked="0"/>
    </xf>
    <xf numFmtId="0" fontId="116" fillId="44" borderId="44" xfId="53" applyFont="1" applyFill="1" applyBorder="1" applyAlignment="1" applyProtection="1">
      <alignment horizontal="center" vertical="center" wrapText="1"/>
      <protection locked="0"/>
    </xf>
    <xf numFmtId="0" fontId="116" fillId="44" borderId="45" xfId="53" applyFont="1" applyFill="1" applyBorder="1" applyAlignment="1" applyProtection="1">
      <alignment horizontal="center" vertical="center" wrapText="1"/>
      <protection locked="0"/>
    </xf>
    <xf numFmtId="0" fontId="116" fillId="44" borderId="43" xfId="53" applyFont="1" applyFill="1" applyBorder="1" applyAlignment="1" applyProtection="1">
      <alignment horizontal="center" vertical="center" wrapText="1"/>
      <protection locked="0"/>
    </xf>
    <xf numFmtId="0" fontId="116" fillId="44" borderId="44" xfId="53" applyFont="1" applyFill="1" applyBorder="1" applyAlignment="1" applyProtection="1">
      <alignment vertical="center" wrapText="1"/>
      <protection locked="0"/>
    </xf>
    <xf numFmtId="0" fontId="116" fillId="44" borderId="45" xfId="53" applyFont="1" applyFill="1" applyBorder="1" applyAlignment="1" applyProtection="1">
      <alignment vertical="center" wrapText="1"/>
      <protection locked="0"/>
    </xf>
    <xf numFmtId="0" fontId="116" fillId="44" borderId="43" xfId="53" applyFont="1" applyFill="1" applyBorder="1" applyAlignment="1" applyProtection="1">
      <alignment vertical="center" wrapText="1"/>
      <protection locked="0"/>
    </xf>
    <xf numFmtId="0" fontId="94" fillId="34" borderId="17" xfId="53" applyFont="1" applyFill="1" applyBorder="1" applyAlignment="1" applyProtection="1">
      <alignment horizontal="left" vertical="center" wrapText="1"/>
      <protection locked="0"/>
    </xf>
    <xf numFmtId="0" fontId="94" fillId="34" borderId="44" xfId="53" applyFont="1" applyFill="1" applyBorder="1" applyAlignment="1" applyProtection="1">
      <alignment horizontal="left" vertical="center" wrapText="1"/>
      <protection locked="0"/>
    </xf>
    <xf numFmtId="0" fontId="94" fillId="34" borderId="45" xfId="53" applyFont="1" applyFill="1" applyBorder="1" applyAlignment="1" applyProtection="1">
      <alignment horizontal="left" vertical="center" wrapText="1"/>
      <protection locked="0"/>
    </xf>
    <xf numFmtId="0" fontId="94" fillId="43" borderId="17" xfId="53" applyFont="1" applyFill="1" applyBorder="1" applyAlignment="1" applyProtection="1">
      <alignment horizontal="left" vertical="center" wrapText="1"/>
      <protection locked="0"/>
    </xf>
    <xf numFmtId="0" fontId="116" fillId="43" borderId="44" xfId="53" applyFont="1" applyFill="1" applyBorder="1" applyAlignment="1" applyProtection="1">
      <alignment vertical="center" wrapText="1"/>
      <protection locked="0"/>
    </xf>
    <xf numFmtId="0" fontId="116" fillId="43" borderId="43" xfId="53" applyFont="1" applyFill="1" applyBorder="1" applyAlignment="1" applyProtection="1">
      <alignment vertical="center" wrapText="1"/>
      <protection locked="0"/>
    </xf>
    <xf numFmtId="0" fontId="94" fillId="44" borderId="17" xfId="53" applyFont="1" applyFill="1" applyBorder="1" applyAlignment="1" applyProtection="1">
      <alignment horizontal="center" vertical="center" wrapText="1"/>
      <protection locked="0"/>
    </xf>
    <xf numFmtId="0" fontId="94" fillId="44" borderId="17" xfId="53" applyFont="1" applyFill="1" applyBorder="1" applyAlignment="1" applyProtection="1">
      <alignment horizontal="left" vertical="center" wrapText="1"/>
      <protection locked="0"/>
    </xf>
    <xf numFmtId="0" fontId="116" fillId="44" borderId="17" xfId="53" applyFont="1" applyFill="1" applyBorder="1" applyAlignment="1" applyProtection="1">
      <alignment vertical="center" wrapText="1"/>
      <protection locked="0"/>
    </xf>
    <xf numFmtId="0" fontId="94" fillId="42" borderId="44" xfId="53" applyFont="1" applyFill="1" applyBorder="1" applyAlignment="1" applyProtection="1">
      <alignment horizontal="center" vertical="center" wrapText="1"/>
      <protection locked="0"/>
    </xf>
    <xf numFmtId="0" fontId="94" fillId="42" borderId="45" xfId="53" applyFont="1" applyFill="1" applyBorder="1" applyAlignment="1" applyProtection="1">
      <alignment horizontal="center" vertical="center" wrapText="1"/>
      <protection locked="0"/>
    </xf>
    <xf numFmtId="0" fontId="94" fillId="42" borderId="43" xfId="53" applyFont="1" applyFill="1" applyBorder="1" applyAlignment="1" applyProtection="1">
      <alignment horizontal="center" vertical="center" wrapText="1"/>
      <protection locked="0"/>
    </xf>
    <xf numFmtId="0" fontId="94" fillId="42" borderId="44" xfId="53" applyFont="1" applyFill="1" applyBorder="1" applyAlignment="1" applyProtection="1">
      <alignment horizontal="left" vertical="center" wrapText="1"/>
      <protection locked="0"/>
    </xf>
    <xf numFmtId="0" fontId="94" fillId="42" borderId="43" xfId="53" applyFont="1" applyFill="1" applyBorder="1" applyAlignment="1" applyProtection="1">
      <alignment horizontal="left" vertical="center" wrapText="1"/>
      <protection locked="0"/>
    </xf>
    <xf numFmtId="0" fontId="63" fillId="42" borderId="44" xfId="53" applyFont="1" applyFill="1" applyBorder="1" applyAlignment="1">
      <alignment vertical="center" wrapText="1"/>
    </xf>
    <xf numFmtId="0" fontId="63" fillId="42" borderId="45" xfId="53" applyFont="1" applyFill="1" applyBorder="1" applyAlignment="1">
      <alignment vertical="center" wrapText="1"/>
    </xf>
    <xf numFmtId="0" fontId="63" fillId="42" borderId="43" xfId="53" applyFont="1" applyFill="1" applyBorder="1" applyAlignment="1">
      <alignment vertical="center" wrapText="1"/>
    </xf>
    <xf numFmtId="0" fontId="94" fillId="43" borderId="17" xfId="53" applyFont="1" applyFill="1" applyBorder="1" applyAlignment="1" applyProtection="1">
      <alignment horizontal="center" vertical="center" wrapText="1"/>
      <protection locked="0"/>
    </xf>
    <xf numFmtId="0" fontId="94" fillId="43" borderId="44" xfId="53" applyFont="1" applyFill="1" applyBorder="1" applyAlignment="1" applyProtection="1">
      <alignment vertical="center" wrapText="1"/>
      <protection locked="0"/>
    </xf>
    <xf numFmtId="0" fontId="94" fillId="43" borderId="45" xfId="53" applyFont="1" applyFill="1" applyBorder="1" applyAlignment="1" applyProtection="1">
      <alignment vertical="center" wrapText="1"/>
      <protection locked="0"/>
    </xf>
    <xf numFmtId="0" fontId="94" fillId="43" borderId="43" xfId="53" applyFont="1" applyFill="1" applyBorder="1" applyAlignment="1" applyProtection="1">
      <alignment vertical="center" wrapText="1"/>
      <protection locked="0"/>
    </xf>
    <xf numFmtId="0" fontId="63" fillId="43" borderId="69" xfId="53" applyFont="1" applyFill="1" applyBorder="1" applyAlignment="1" applyProtection="1">
      <alignment horizontal="center" vertical="center" wrapText="1"/>
      <protection locked="0"/>
    </xf>
    <xf numFmtId="0" fontId="63" fillId="43" borderId="17" xfId="53" applyFont="1" applyFill="1" applyBorder="1" applyAlignment="1" applyProtection="1">
      <alignment horizontal="center" vertical="center" wrapText="1"/>
      <protection locked="0"/>
    </xf>
    <xf numFmtId="0" fontId="116" fillId="43" borderId="44" xfId="53" applyFont="1" applyFill="1" applyBorder="1" applyAlignment="1" applyProtection="1">
      <alignment horizontal="center" vertical="center" wrapText="1"/>
      <protection locked="0"/>
    </xf>
    <xf numFmtId="0" fontId="116" fillId="43" borderId="45" xfId="53" applyFont="1" applyFill="1" applyBorder="1" applyAlignment="1" applyProtection="1">
      <alignment horizontal="center" vertical="center" wrapText="1"/>
      <protection locked="0"/>
    </xf>
    <xf numFmtId="0" fontId="116" fillId="43" borderId="43" xfId="53" applyFont="1" applyFill="1" applyBorder="1" applyAlignment="1" applyProtection="1">
      <alignment horizontal="center" vertical="center" wrapText="1"/>
      <protection locked="0"/>
    </xf>
    <xf numFmtId="0" fontId="116" fillId="43" borderId="45" xfId="53" applyFont="1" applyFill="1" applyBorder="1" applyAlignment="1" applyProtection="1">
      <alignment vertical="center" wrapText="1"/>
      <protection locked="0"/>
    </xf>
    <xf numFmtId="0" fontId="63" fillId="43" borderId="44" xfId="53" applyFont="1" applyFill="1" applyBorder="1" applyAlignment="1">
      <alignment vertical="center" wrapText="1"/>
    </xf>
    <xf numFmtId="0" fontId="63" fillId="43" borderId="43" xfId="53" applyFont="1" applyFill="1" applyBorder="1" applyAlignment="1">
      <alignment vertical="center" wrapText="1"/>
    </xf>
    <xf numFmtId="0" fontId="116" fillId="43" borderId="17" xfId="53" applyFont="1" applyFill="1" applyBorder="1" applyAlignment="1" applyProtection="1">
      <alignment vertical="center" wrapText="1"/>
      <protection locked="0"/>
    </xf>
    <xf numFmtId="0" fontId="94" fillId="37" borderId="17" xfId="53" applyFont="1" applyFill="1" applyBorder="1" applyAlignment="1">
      <alignment horizontal="center" vertical="center" wrapText="1"/>
    </xf>
    <xf numFmtId="0" fontId="94" fillId="37" borderId="17" xfId="53" applyFont="1" applyFill="1" applyBorder="1" applyAlignment="1" applyProtection="1">
      <alignment horizontal="left" vertical="center" wrapText="1"/>
      <protection locked="0"/>
    </xf>
    <xf numFmtId="0" fontId="94" fillId="34" borderId="17" xfId="53" applyFont="1" applyFill="1" applyBorder="1" applyAlignment="1" applyProtection="1">
      <alignment horizontal="center" vertical="center" wrapText="1"/>
      <protection locked="0"/>
    </xf>
    <xf numFmtId="0" fontId="94" fillId="34" borderId="43" xfId="53" applyFont="1" applyFill="1" applyBorder="1" applyAlignment="1" applyProtection="1">
      <alignment horizontal="left" vertical="center" wrapText="1"/>
      <protection locked="0"/>
    </xf>
    <xf numFmtId="0" fontId="117" fillId="0" borderId="0" xfId="183" applyFont="1" applyFill="1" applyBorder="1" applyAlignment="1">
      <alignment horizontal="left" vertical="center" wrapText="1"/>
    </xf>
    <xf numFmtId="0" fontId="116" fillId="0" borderId="73" xfId="53" applyFont="1" applyFill="1" applyBorder="1" applyAlignment="1">
      <alignment horizontal="center" vertical="center" wrapText="1"/>
    </xf>
    <xf numFmtId="0" fontId="116" fillId="0" borderId="0" xfId="53" applyFont="1" applyFill="1" applyBorder="1" applyAlignment="1">
      <alignment horizontal="center" vertical="center" wrapText="1"/>
    </xf>
    <xf numFmtId="0" fontId="116" fillId="0" borderId="74" xfId="53" applyFont="1" applyFill="1" applyBorder="1" applyAlignment="1">
      <alignment horizontal="center" vertical="center" wrapText="1"/>
    </xf>
    <xf numFmtId="0" fontId="116" fillId="0" borderId="73" xfId="53" applyFont="1" applyFill="1" applyBorder="1" applyAlignment="1">
      <alignment horizontal="left" vertical="center" wrapText="1"/>
    </xf>
    <xf numFmtId="0" fontId="116" fillId="0" borderId="0" xfId="53" applyFont="1" applyFill="1" applyBorder="1" applyAlignment="1">
      <alignment horizontal="left" vertical="center" wrapText="1"/>
    </xf>
    <xf numFmtId="0" fontId="116" fillId="0" borderId="74" xfId="53" applyFont="1" applyFill="1" applyBorder="1" applyAlignment="1">
      <alignment horizontal="left" vertical="center" wrapText="1"/>
    </xf>
    <xf numFmtId="0" fontId="117" fillId="0" borderId="0" xfId="183" applyFont="1" applyFill="1" applyBorder="1" applyAlignment="1">
      <alignment horizontal="left" vertical="center"/>
    </xf>
    <xf numFmtId="0" fontId="116" fillId="0" borderId="75" xfId="53" applyFont="1" applyFill="1" applyBorder="1" applyAlignment="1">
      <alignment horizontal="left" vertical="center" wrapText="1"/>
    </xf>
    <xf numFmtId="0" fontId="116" fillId="0" borderId="66" xfId="53" applyFont="1" applyFill="1" applyBorder="1" applyAlignment="1">
      <alignment horizontal="left" vertical="center" wrapText="1"/>
    </xf>
    <xf numFmtId="0" fontId="116" fillId="0" borderId="76" xfId="53" applyFont="1" applyFill="1" applyBorder="1" applyAlignment="1">
      <alignment horizontal="left" vertical="center" wrapText="1"/>
    </xf>
    <xf numFmtId="0" fontId="116" fillId="0" borderId="66" xfId="53" applyFont="1" applyBorder="1" applyAlignment="1">
      <alignment horizontal="left" wrapText="1"/>
    </xf>
    <xf numFmtId="0" fontId="116" fillId="0" borderId="88" xfId="53" applyFont="1" applyFill="1" applyBorder="1" applyAlignment="1">
      <alignment horizontal="center" vertical="center" wrapText="1"/>
    </xf>
    <xf numFmtId="0" fontId="116" fillId="0" borderId="35" xfId="53" applyFont="1" applyFill="1" applyBorder="1" applyAlignment="1">
      <alignment horizontal="center" vertical="center" wrapText="1"/>
    </xf>
    <xf numFmtId="0" fontId="116" fillId="0" borderId="89" xfId="53" applyFont="1" applyFill="1" applyBorder="1" applyAlignment="1">
      <alignment horizontal="center" vertical="center" wrapText="1"/>
    </xf>
    <xf numFmtId="0" fontId="94" fillId="0" borderId="15" xfId="53" applyFont="1" applyFill="1" applyBorder="1" applyAlignment="1">
      <alignment horizontal="right" vertical="center" wrapText="1"/>
    </xf>
    <xf numFmtId="0" fontId="118" fillId="0" borderId="46" xfId="53" applyFont="1" applyFill="1" applyBorder="1" applyAlignment="1">
      <alignment horizontal="right" vertical="center" wrapText="1"/>
    </xf>
    <xf numFmtId="0" fontId="118" fillId="0" borderId="0" xfId="53" applyFont="1" applyFill="1" applyBorder="1" applyAlignment="1">
      <alignment horizontal="right" vertical="center" wrapText="1"/>
    </xf>
    <xf numFmtId="0" fontId="118" fillId="0" borderId="35" xfId="53" applyFont="1" applyFill="1" applyBorder="1" applyAlignment="1">
      <alignment horizontal="right" vertical="center" wrapText="1"/>
    </xf>
    <xf numFmtId="0" fontId="116" fillId="0" borderId="65" xfId="53" applyFont="1" applyBorder="1" applyAlignment="1">
      <alignment horizontal="left" vertical="top" wrapText="1"/>
    </xf>
    <xf numFmtId="0" fontId="117" fillId="0" borderId="86" xfId="183" applyFont="1" applyFill="1" applyBorder="1" applyAlignment="1">
      <alignment horizontal="left" vertical="center" wrapText="1"/>
    </xf>
    <xf numFmtId="0" fontId="117" fillId="0" borderId="46" xfId="183" applyFont="1" applyFill="1" applyBorder="1" applyAlignment="1">
      <alignment horizontal="left" vertical="center" wrapText="1"/>
    </xf>
    <xf numFmtId="0" fontId="117" fillId="0" borderId="87" xfId="183" applyFont="1" applyFill="1" applyBorder="1" applyAlignment="1">
      <alignment horizontal="left" vertical="center" wrapText="1"/>
    </xf>
    <xf numFmtId="0" fontId="63" fillId="0" borderId="0" xfId="53" applyFont="1" applyAlignment="1">
      <alignment horizontal="center" wrapText="1"/>
    </xf>
    <xf numFmtId="0" fontId="94" fillId="0" borderId="69" xfId="53" applyFont="1" applyFill="1" applyBorder="1" applyAlignment="1">
      <alignment horizontal="center" wrapText="1"/>
    </xf>
    <xf numFmtId="0" fontId="0" fillId="0" borderId="17" xfId="0" applyFill="1" applyBorder="1" applyAlignment="1">
      <alignment horizontal="center" wrapText="1"/>
    </xf>
    <xf numFmtId="0" fontId="0" fillId="0" borderId="70" xfId="0" applyFill="1" applyBorder="1" applyAlignment="1">
      <alignment horizontal="center" wrapText="1"/>
    </xf>
    <xf numFmtId="0" fontId="94" fillId="0" borderId="15" xfId="53" applyFont="1" applyFill="1" applyBorder="1" applyAlignment="1">
      <alignment horizontal="center" vertical="center" wrapText="1"/>
    </xf>
    <xf numFmtId="0" fontId="0" fillId="0" borderId="15" xfId="0" applyBorder="1" applyAlignment="1">
      <alignment horizontal="center" vertical="center" wrapText="1"/>
    </xf>
    <xf numFmtId="0" fontId="0" fillId="0" borderId="84" xfId="0" applyBorder="1" applyAlignment="1">
      <alignment horizontal="center" vertical="center" wrapText="1"/>
    </xf>
    <xf numFmtId="0" fontId="94" fillId="0" borderId="83" xfId="53" applyFont="1" applyFill="1" applyBorder="1" applyAlignment="1">
      <alignment horizontal="center" wrapText="1"/>
    </xf>
    <xf numFmtId="0" fontId="94" fillId="0" borderId="15" xfId="53" applyFont="1" applyFill="1" applyBorder="1" applyAlignment="1">
      <alignment horizontal="center" wrapText="1"/>
    </xf>
    <xf numFmtId="0" fontId="0" fillId="0" borderId="15" xfId="0" applyBorder="1" applyAlignment="1">
      <alignment horizontal="center" wrapText="1"/>
    </xf>
    <xf numFmtId="0" fontId="0" fillId="0" borderId="84" xfId="0" applyBorder="1" applyAlignment="1">
      <alignment horizontal="center" wrapText="1"/>
    </xf>
    <xf numFmtId="0" fontId="94" fillId="0" borderId="113" xfId="53" applyFont="1" applyFill="1" applyBorder="1" applyAlignment="1">
      <alignment horizontal="center" wrapText="1"/>
    </xf>
    <xf numFmtId="0" fontId="0" fillId="0" borderId="114" xfId="0" applyBorder="1" applyAlignment="1">
      <alignment horizontal="center" wrapText="1"/>
    </xf>
    <xf numFmtId="0" fontId="0" fillId="0" borderId="115" xfId="0" applyBorder="1" applyAlignment="1">
      <alignment horizontal="center" wrapText="1"/>
    </xf>
    <xf numFmtId="0" fontId="94" fillId="0" borderId="53" xfId="53" applyFont="1" applyFill="1" applyBorder="1" applyAlignment="1">
      <alignment horizontal="center" wrapText="1"/>
    </xf>
    <xf numFmtId="0" fontId="0" fillId="0" borderId="54" xfId="0" applyBorder="1" applyAlignment="1">
      <alignment horizontal="center" wrapText="1"/>
    </xf>
    <xf numFmtId="0" fontId="0" fillId="0" borderId="52" xfId="0" applyBorder="1" applyAlignment="1">
      <alignment horizontal="center" wrapText="1"/>
    </xf>
    <xf numFmtId="0" fontId="116" fillId="34" borderId="44" xfId="53" applyFont="1" applyFill="1" applyBorder="1" applyAlignment="1" applyProtection="1">
      <alignment vertical="center" wrapText="1"/>
      <protection locked="0"/>
    </xf>
    <xf numFmtId="0" fontId="116" fillId="34" borderId="45" xfId="53" applyFont="1" applyFill="1" applyBorder="1" applyAlignment="1" applyProtection="1">
      <alignment vertical="center" wrapText="1"/>
      <protection locked="0"/>
    </xf>
    <xf numFmtId="0" fontId="116" fillId="34" borderId="43" xfId="53" applyFont="1" applyFill="1" applyBorder="1" applyAlignment="1" applyProtection="1">
      <alignment vertical="center" wrapText="1"/>
      <protection locked="0"/>
    </xf>
    <xf numFmtId="0" fontId="94" fillId="0" borderId="17" xfId="53" applyFont="1" applyFill="1" applyBorder="1" applyAlignment="1">
      <alignment horizontal="center" wrapText="1"/>
    </xf>
    <xf numFmtId="0" fontId="94" fillId="0" borderId="70" xfId="53" applyFont="1" applyFill="1" applyBorder="1" applyAlignment="1">
      <alignment horizontal="center" wrapText="1"/>
    </xf>
    <xf numFmtId="0" fontId="94" fillId="0" borderId="14" xfId="53" applyFont="1" applyFill="1" applyBorder="1" applyAlignment="1">
      <alignment horizontal="right" vertical="center" wrapText="1"/>
    </xf>
    <xf numFmtId="0" fontId="118" fillId="0" borderId="64" xfId="53" applyFont="1" applyFill="1" applyBorder="1" applyAlignment="1">
      <alignment horizontal="right" vertical="center" wrapText="1"/>
    </xf>
    <xf numFmtId="0" fontId="118" fillId="0" borderId="55" xfId="53" applyFont="1" applyFill="1" applyBorder="1" applyAlignment="1">
      <alignment horizontal="right" vertical="center" wrapText="1"/>
    </xf>
    <xf numFmtId="0" fontId="118" fillId="0" borderId="63" xfId="53" applyFont="1" applyFill="1" applyBorder="1" applyAlignment="1">
      <alignment horizontal="right" vertical="center" wrapText="1"/>
    </xf>
    <xf numFmtId="0" fontId="116" fillId="0" borderId="71" xfId="53" applyFont="1" applyBorder="1" applyAlignment="1">
      <alignment horizontal="left" vertical="top" wrapText="1"/>
    </xf>
    <xf numFmtId="0" fontId="116" fillId="0" borderId="72" xfId="53" applyFont="1" applyBorder="1" applyAlignment="1">
      <alignment horizontal="left" vertical="top" wrapText="1"/>
    </xf>
    <xf numFmtId="0" fontId="116" fillId="0" borderId="65" xfId="53" applyFont="1" applyFill="1" applyBorder="1" applyAlignment="1">
      <alignment horizontal="left" vertical="center" wrapText="1"/>
    </xf>
    <xf numFmtId="0" fontId="117" fillId="0" borderId="86" xfId="127" applyFont="1" applyFill="1" applyBorder="1" applyAlignment="1">
      <alignment horizontal="left" vertical="center" wrapText="1"/>
    </xf>
    <xf numFmtId="0" fontId="117" fillId="0" borderId="46" xfId="127" applyFont="1" applyFill="1" applyBorder="1" applyAlignment="1">
      <alignment horizontal="left" vertical="center" wrapText="1"/>
    </xf>
    <xf numFmtId="0" fontId="117" fillId="0" borderId="87" xfId="127" applyFont="1" applyFill="1" applyBorder="1" applyAlignment="1">
      <alignment horizontal="left" vertical="center" wrapText="1"/>
    </xf>
    <xf numFmtId="0" fontId="117" fillId="0" borderId="73" xfId="127" applyFont="1" applyFill="1" applyBorder="1" applyAlignment="1">
      <alignment horizontal="left" vertical="center"/>
    </xf>
    <xf numFmtId="0" fontId="117" fillId="0" borderId="0" xfId="127" applyFont="1" applyFill="1" applyBorder="1" applyAlignment="1">
      <alignment horizontal="left" vertical="center"/>
    </xf>
    <xf numFmtId="0" fontId="117" fillId="0" borderId="74" xfId="127" applyFont="1" applyFill="1" applyBorder="1" applyAlignment="1">
      <alignment horizontal="left" vertical="center"/>
    </xf>
    <xf numFmtId="0" fontId="117" fillId="0" borderId="73" xfId="127" applyFont="1" applyFill="1" applyBorder="1" applyAlignment="1">
      <alignment horizontal="left" vertical="center" wrapText="1"/>
    </xf>
    <xf numFmtId="0" fontId="117" fillId="0" borderId="0" xfId="127" applyFont="1" applyFill="1" applyBorder="1" applyAlignment="1">
      <alignment horizontal="left" vertical="center" wrapText="1"/>
    </xf>
    <xf numFmtId="0" fontId="117" fillId="0" borderId="74" xfId="127" applyFont="1" applyFill="1" applyBorder="1" applyAlignment="1">
      <alignment horizontal="left" vertical="center" wrapText="1"/>
    </xf>
    <xf numFmtId="0" fontId="116" fillId="0" borderId="75" xfId="53" applyFont="1" applyBorder="1" applyAlignment="1">
      <alignment horizontal="left" wrapText="1"/>
    </xf>
    <xf numFmtId="0" fontId="116" fillId="0" borderId="76" xfId="53" applyFont="1" applyBorder="1" applyAlignment="1">
      <alignment horizontal="left" wrapText="1"/>
    </xf>
    <xf numFmtId="0" fontId="94" fillId="0" borderId="14" xfId="53" applyFont="1" applyFill="1" applyBorder="1" applyAlignment="1">
      <alignment horizontal="center" wrapText="1"/>
    </xf>
    <xf numFmtId="0" fontId="94" fillId="0" borderId="86" xfId="53" applyFont="1" applyFill="1" applyBorder="1" applyAlignment="1">
      <alignment horizontal="center" wrapText="1"/>
    </xf>
    <xf numFmtId="0" fontId="94" fillId="0" borderId="46" xfId="53" applyFont="1" applyFill="1" applyBorder="1" applyAlignment="1">
      <alignment horizontal="center" wrapText="1"/>
    </xf>
    <xf numFmtId="0" fontId="94" fillId="0" borderId="87" xfId="53" applyFont="1" applyFill="1" applyBorder="1" applyAlignment="1">
      <alignment horizontal="center" wrapText="1"/>
    </xf>
    <xf numFmtId="0" fontId="117" fillId="0" borderId="0" xfId="71" applyFont="1" applyFill="1" applyBorder="1" applyAlignment="1">
      <alignment horizontal="left" vertical="center"/>
    </xf>
    <xf numFmtId="0" fontId="117" fillId="0" borderId="0" xfId="71" applyFont="1" applyFill="1" applyBorder="1" applyAlignment="1">
      <alignment horizontal="left" vertical="center" wrapText="1"/>
    </xf>
    <xf numFmtId="0" fontId="117" fillId="0" borderId="86" xfId="66" applyFont="1" applyFill="1" applyBorder="1" applyAlignment="1">
      <alignment horizontal="left" vertical="center" wrapText="1"/>
    </xf>
    <xf numFmtId="0" fontId="117" fillId="0" borderId="46" xfId="66" applyFont="1" applyFill="1" applyBorder="1" applyAlignment="1">
      <alignment horizontal="left" vertical="center" wrapText="1"/>
    </xf>
    <xf numFmtId="0" fontId="117" fillId="0" borderId="87" xfId="66" applyFont="1" applyFill="1" applyBorder="1" applyAlignment="1">
      <alignment horizontal="left" vertical="center" wrapText="1"/>
    </xf>
    <xf numFmtId="0" fontId="63" fillId="0" borderId="44" xfId="53" applyFont="1" applyBorder="1" applyAlignment="1">
      <alignment vertical="center" wrapText="1"/>
    </xf>
    <xf numFmtId="0" fontId="63" fillId="0" borderId="43" xfId="53" applyFont="1" applyBorder="1" applyAlignment="1">
      <alignment vertical="center" wrapText="1"/>
    </xf>
    <xf numFmtId="0" fontId="63" fillId="0" borderId="45" xfId="53" applyFont="1" applyBorder="1" applyAlignment="1">
      <alignment vertical="center" wrapText="1"/>
    </xf>
    <xf numFmtId="0" fontId="48" fillId="0" borderId="17" xfId="70" applyFont="1" applyBorder="1" applyAlignment="1">
      <alignment horizontal="center"/>
    </xf>
    <xf numFmtId="0" fontId="48" fillId="0" borderId="70" xfId="70" applyFont="1" applyBorder="1" applyAlignment="1">
      <alignment horizontal="center"/>
    </xf>
    <xf numFmtId="0" fontId="48" fillId="0" borderId="16" xfId="70" applyFont="1" applyBorder="1" applyAlignment="1">
      <alignment horizontal="center"/>
    </xf>
    <xf numFmtId="0" fontId="65" fillId="0" borderId="44" xfId="70" applyFont="1" applyBorder="1" applyAlignment="1">
      <alignment horizontal="left" vertical="center" wrapText="1"/>
    </xf>
    <xf numFmtId="0" fontId="65" fillId="0" borderId="45" xfId="70" applyFont="1" applyBorder="1" applyAlignment="1">
      <alignment horizontal="left" vertical="center" wrapText="1"/>
    </xf>
    <xf numFmtId="0" fontId="65" fillId="0" borderId="43" xfId="70" applyFont="1" applyBorder="1" applyAlignment="1">
      <alignment horizontal="left" vertical="center" wrapText="1"/>
    </xf>
    <xf numFmtId="0" fontId="91" fillId="48" borderId="52" xfId="56" applyFont="1" applyFill="1" applyBorder="1" applyAlignment="1">
      <alignment horizontal="center" vertical="center"/>
    </xf>
    <xf numFmtId="0" fontId="91" fillId="48" borderId="41" xfId="56" applyFont="1" applyFill="1" applyBorder="1" applyAlignment="1">
      <alignment horizontal="center" vertical="center"/>
    </xf>
    <xf numFmtId="0" fontId="99" fillId="45" borderId="41" xfId="56" applyFont="1" applyFill="1" applyBorder="1" applyAlignment="1">
      <alignment horizontal="center" wrapText="1"/>
    </xf>
    <xf numFmtId="0" fontId="48" fillId="43" borderId="41" xfId="56" applyFont="1" applyFill="1" applyBorder="1" applyAlignment="1">
      <alignment horizontal="center" wrapText="1"/>
    </xf>
    <xf numFmtId="0" fontId="91" fillId="44" borderId="54" xfId="56" applyFont="1" applyFill="1" applyBorder="1" applyAlignment="1">
      <alignment horizontal="center" vertical="center" wrapText="1"/>
    </xf>
    <xf numFmtId="0" fontId="91" fillId="44" borderId="52" xfId="56" applyFont="1" applyFill="1" applyBorder="1" applyAlignment="1">
      <alignment horizontal="center" vertical="center" wrapText="1"/>
    </xf>
    <xf numFmtId="0" fontId="91" fillId="44" borderId="53" xfId="56" applyFont="1" applyFill="1" applyBorder="1" applyAlignment="1">
      <alignment horizontal="center" vertical="center" wrapText="1"/>
    </xf>
    <xf numFmtId="0" fontId="91" fillId="37" borderId="53" xfId="56" applyFont="1" applyFill="1" applyBorder="1" applyAlignment="1">
      <alignment horizontal="center" vertical="center" wrapText="1"/>
    </xf>
    <xf numFmtId="0" fontId="91" fillId="37" borderId="54" xfId="56" applyFont="1" applyFill="1" applyBorder="1" applyAlignment="1">
      <alignment horizontal="center" vertical="center" wrapText="1"/>
    </xf>
    <xf numFmtId="0" fontId="91" fillId="37" borderId="52" xfId="56" applyFont="1" applyFill="1" applyBorder="1" applyAlignment="1">
      <alignment horizontal="center" vertical="center" wrapText="1"/>
    </xf>
    <xf numFmtId="0" fontId="91" fillId="37" borderId="53" xfId="56" applyFont="1" applyFill="1" applyBorder="1" applyAlignment="1">
      <alignment horizontal="center" wrapText="1"/>
    </xf>
    <xf numFmtId="0" fontId="91" fillId="37" borderId="54" xfId="56" applyFont="1" applyFill="1" applyBorder="1" applyAlignment="1">
      <alignment horizontal="center" wrapText="1"/>
    </xf>
    <xf numFmtId="0" fontId="91" fillId="37" borderId="52" xfId="56" applyFont="1" applyFill="1" applyBorder="1" applyAlignment="1">
      <alignment horizontal="center" wrapText="1"/>
    </xf>
    <xf numFmtId="0" fontId="91" fillId="34" borderId="41" xfId="56" applyFont="1" applyFill="1" applyBorder="1" applyAlignment="1">
      <alignment horizontal="center" vertical="center"/>
    </xf>
    <xf numFmtId="0" fontId="91" fillId="35" borderId="41" xfId="56" applyFont="1" applyFill="1" applyBorder="1" applyAlignment="1">
      <alignment horizontal="center" vertical="center" wrapText="1"/>
    </xf>
    <xf numFmtId="0" fontId="91" fillId="34" borderId="41" xfId="56" applyFont="1" applyFill="1" applyBorder="1" applyAlignment="1">
      <alignment horizontal="center" vertical="center" wrapText="1"/>
    </xf>
    <xf numFmtId="0" fontId="91" fillId="34" borderId="41" xfId="56" applyFont="1" applyFill="1" applyBorder="1" applyAlignment="1">
      <alignment horizontal="center" wrapText="1"/>
    </xf>
    <xf numFmtId="0" fontId="91" fillId="34" borderId="53" xfId="56" applyFont="1" applyFill="1" applyBorder="1" applyAlignment="1">
      <alignment horizontal="center" vertical="center" wrapText="1"/>
    </xf>
    <xf numFmtId="0" fontId="91" fillId="34" borderId="52" xfId="56" applyFont="1" applyFill="1" applyBorder="1" applyAlignment="1">
      <alignment horizontal="center" vertical="center" wrapText="1"/>
    </xf>
    <xf numFmtId="0" fontId="48" fillId="0" borderId="17" xfId="56" applyFont="1" applyBorder="1" applyAlignment="1">
      <alignment horizontal="center"/>
    </xf>
    <xf numFmtId="0" fontId="91" fillId="36" borderId="41" xfId="56" applyFont="1" applyFill="1" applyBorder="1" applyAlignment="1">
      <alignment horizontal="center" vertical="center"/>
    </xf>
    <xf numFmtId="0" fontId="48" fillId="0" borderId="53" xfId="56" applyFont="1" applyBorder="1" applyAlignment="1">
      <alignment horizontal="center"/>
    </xf>
    <xf numFmtId="0" fontId="48" fillId="0" borderId="54" xfId="56" applyFont="1" applyBorder="1" applyAlignment="1">
      <alignment horizontal="center"/>
    </xf>
    <xf numFmtId="0" fontId="48" fillId="0" borderId="52" xfId="56" applyFont="1" applyBorder="1" applyAlignment="1">
      <alignment horizontal="center"/>
    </xf>
    <xf numFmtId="0" fontId="94" fillId="33" borderId="17" xfId="0" applyFont="1" applyFill="1" applyBorder="1" applyAlignment="1">
      <alignment horizontal="center" vertical="center" wrapText="1"/>
    </xf>
    <xf numFmtId="0" fontId="96" fillId="46" borderId="14" xfId="53" applyFont="1" applyFill="1" applyBorder="1" applyAlignment="1" applyProtection="1">
      <alignment horizontal="center" vertical="center" wrapText="1"/>
      <protection locked="0"/>
    </xf>
    <xf numFmtId="0" fontId="96" fillId="46" borderId="15" xfId="53" applyFont="1" applyFill="1" applyBorder="1" applyAlignment="1" applyProtection="1">
      <alignment horizontal="center" vertical="center" wrapText="1"/>
      <protection locked="0"/>
    </xf>
    <xf numFmtId="0" fontId="96" fillId="46" borderId="16" xfId="53" applyFont="1" applyFill="1" applyBorder="1" applyAlignment="1" applyProtection="1">
      <alignment horizontal="center" vertical="center" wrapText="1"/>
      <protection locked="0"/>
    </xf>
    <xf numFmtId="0" fontId="94" fillId="33" borderId="17" xfId="53" applyFont="1" applyFill="1" applyBorder="1" applyAlignment="1">
      <alignment horizontal="center" vertical="center" wrapText="1"/>
    </xf>
    <xf numFmtId="0" fontId="94" fillId="35" borderId="17" xfId="53" applyFont="1" applyFill="1" applyBorder="1" applyAlignment="1" applyProtection="1">
      <alignment horizontal="center" vertical="center" wrapText="1"/>
      <protection locked="0"/>
    </xf>
    <xf numFmtId="0" fontId="63" fillId="0" borderId="0" xfId="53" applyFont="1" applyAlignment="1">
      <alignment horizontal="left" vertical="top" wrapText="1"/>
    </xf>
    <xf numFmtId="0" fontId="94" fillId="35" borderId="17" xfId="53" applyFont="1" applyFill="1" applyBorder="1" applyAlignment="1">
      <alignment horizontal="center" vertical="center" wrapText="1"/>
    </xf>
    <xf numFmtId="0" fontId="63" fillId="0" borderId="0" xfId="53" applyFont="1" applyAlignment="1">
      <alignment horizontal="left" wrapText="1"/>
    </xf>
    <xf numFmtId="0" fontId="94" fillId="39" borderId="42" xfId="53" applyFont="1" applyFill="1" applyBorder="1" applyAlignment="1">
      <alignment horizontal="center" vertical="center" wrapText="1"/>
    </xf>
    <xf numFmtId="0" fontId="96" fillId="46" borderId="17" xfId="53" applyFont="1" applyFill="1" applyBorder="1" applyAlignment="1" applyProtection="1">
      <alignment horizontal="center" vertical="center" wrapText="1"/>
      <protection locked="0"/>
    </xf>
    <xf numFmtId="0" fontId="92" fillId="0" borderId="0" xfId="53" applyFont="1" applyBorder="1" applyAlignment="1">
      <alignment horizontal="center" vertical="center"/>
    </xf>
    <xf numFmtId="0" fontId="92" fillId="0" borderId="50" xfId="53" applyFont="1" applyBorder="1" applyAlignment="1">
      <alignment horizontal="center" vertical="center"/>
    </xf>
    <xf numFmtId="0" fontId="63" fillId="41" borderId="38" xfId="53" applyFont="1" applyFill="1" applyBorder="1" applyAlignment="1" applyProtection="1">
      <alignment horizontal="left"/>
      <protection locked="0"/>
    </xf>
    <xf numFmtId="0" fontId="63" fillId="41" borderId="40" xfId="53" applyFont="1" applyFill="1" applyBorder="1" applyAlignment="1" applyProtection="1">
      <alignment horizontal="left"/>
      <protection locked="0"/>
    </xf>
    <xf numFmtId="169" fontId="63" fillId="41" borderId="15" xfId="53" applyNumberFormat="1" applyFont="1" applyFill="1" applyBorder="1" applyAlignment="1" applyProtection="1">
      <alignment horizontal="left"/>
      <protection locked="0"/>
    </xf>
    <xf numFmtId="169" fontId="63" fillId="41" borderId="16" xfId="53" applyNumberFormat="1" applyFont="1" applyFill="1" applyBorder="1" applyAlignment="1" applyProtection="1">
      <alignment horizontal="left"/>
      <protection locked="0"/>
    </xf>
    <xf numFmtId="0" fontId="63" fillId="41" borderId="15" xfId="53" applyFont="1" applyFill="1" applyBorder="1" applyAlignment="1" applyProtection="1">
      <alignment horizontal="left"/>
      <protection locked="0"/>
    </xf>
    <xf numFmtId="0" fontId="63" fillId="41" borderId="16" xfId="53" applyFont="1" applyFill="1" applyBorder="1" applyAlignment="1" applyProtection="1">
      <alignment horizontal="left"/>
      <protection locked="0"/>
    </xf>
    <xf numFmtId="0" fontId="63" fillId="41" borderId="46" xfId="53" applyFont="1" applyFill="1" applyBorder="1" applyAlignment="1" applyProtection="1">
      <alignment horizontal="left"/>
      <protection locked="0"/>
    </xf>
    <xf numFmtId="0" fontId="63" fillId="41" borderId="49" xfId="53" applyFont="1" applyFill="1" applyBorder="1" applyAlignment="1" applyProtection="1">
      <alignment horizontal="left"/>
      <protection locked="0"/>
    </xf>
    <xf numFmtId="0" fontId="50" fillId="39" borderId="0" xfId="48" applyFont="1" applyFill="1" applyAlignment="1">
      <alignment horizontal="center" wrapText="1"/>
    </xf>
    <xf numFmtId="0" fontId="53" fillId="0" borderId="15" xfId="48" applyFont="1" applyBorder="1" applyAlignment="1">
      <alignment horizontal="center"/>
    </xf>
    <xf numFmtId="0" fontId="58" fillId="0" borderId="0" xfId="46" applyFont="1" applyAlignment="1">
      <alignment horizontal="center"/>
    </xf>
    <xf numFmtId="0" fontId="52" fillId="0" borderId="0" xfId="46" applyFont="1" applyAlignment="1">
      <alignment horizontal="left"/>
    </xf>
    <xf numFmtId="0" fontId="58" fillId="34" borderId="17" xfId="46" applyFont="1" applyFill="1" applyBorder="1" applyAlignment="1">
      <alignment horizontal="left" wrapText="1"/>
    </xf>
    <xf numFmtId="0" fontId="58" fillId="37" borderId="17" xfId="46" applyFont="1" applyFill="1" applyBorder="1" applyAlignment="1">
      <alignment horizontal="left" wrapText="1"/>
    </xf>
    <xf numFmtId="0" fontId="52" fillId="38" borderId="0" xfId="46" applyFont="1" applyFill="1" applyBorder="1" applyAlignment="1">
      <alignment horizontal="left" vertical="center" wrapText="1"/>
    </xf>
    <xf numFmtId="0" fontId="52" fillId="38" borderId="0" xfId="46" applyFont="1" applyFill="1" applyBorder="1" applyAlignment="1" applyProtection="1">
      <alignment horizontal="left" vertical="center" wrapText="1"/>
      <protection locked="0"/>
    </xf>
    <xf numFmtId="0" fontId="52" fillId="0" borderId="0" xfId="46" applyFont="1" applyBorder="1" applyAlignment="1">
      <alignment horizontal="left"/>
    </xf>
    <xf numFmtId="0" fontId="32" fillId="38" borderId="26" xfId="46" applyFont="1" applyFill="1" applyBorder="1" applyAlignment="1" applyProtection="1">
      <alignment horizontal="center" wrapText="1"/>
      <protection locked="0"/>
    </xf>
    <xf numFmtId="0" fontId="32" fillId="38" borderId="28" xfId="46" applyFont="1" applyFill="1" applyBorder="1" applyAlignment="1" applyProtection="1">
      <alignment horizontal="center" wrapText="1"/>
      <protection locked="0"/>
    </xf>
    <xf numFmtId="0" fontId="32" fillId="38" borderId="29" xfId="46" applyFont="1" applyFill="1" applyBorder="1" applyAlignment="1" applyProtection="1">
      <alignment horizontal="center" wrapText="1"/>
      <protection locked="0"/>
    </xf>
    <xf numFmtId="0" fontId="72" fillId="38" borderId="27" xfId="46" applyFont="1" applyFill="1" applyBorder="1" applyAlignment="1">
      <alignment horizontal="center" vertical="center" wrapText="1"/>
    </xf>
    <xf numFmtId="0" fontId="72" fillId="38" borderId="28" xfId="46" applyFont="1" applyFill="1" applyBorder="1" applyAlignment="1">
      <alignment horizontal="center" vertical="center" wrapText="1"/>
    </xf>
    <xf numFmtId="0" fontId="72" fillId="38" borderId="29" xfId="46" applyFont="1" applyFill="1" applyBorder="1" applyAlignment="1">
      <alignment horizontal="center" vertical="center" wrapText="1"/>
    </xf>
    <xf numFmtId="0" fontId="91" fillId="0" borderId="0" xfId="50" applyFont="1" applyAlignment="1">
      <alignment horizontal="left" vertical="center" wrapText="1"/>
    </xf>
    <xf numFmtId="0" fontId="77" fillId="0" borderId="0" xfId="50" applyFont="1" applyAlignment="1">
      <alignment horizontal="left" wrapText="1"/>
    </xf>
    <xf numFmtId="0" fontId="68" fillId="0" borderId="0" xfId="50" applyFont="1" applyAlignment="1">
      <alignment horizontal="left" wrapText="1"/>
    </xf>
    <xf numFmtId="49" fontId="91" fillId="0" borderId="0" xfId="51" applyNumberFormat="1" applyFont="1" applyAlignment="1">
      <alignment horizontal="left" wrapText="1"/>
    </xf>
    <xf numFmtId="0" fontId="52" fillId="0" borderId="0" xfId="0" applyFont="1" applyAlignment="1">
      <alignment horizontal="left"/>
    </xf>
    <xf numFmtId="0" fontId="58" fillId="33" borderId="11" xfId="32" applyFont="1" applyFill="1" applyBorder="1" applyAlignment="1">
      <alignment horizontal="left"/>
    </xf>
    <xf numFmtId="0" fontId="58" fillId="33" borderId="12" xfId="32" applyFont="1" applyFill="1" applyBorder="1" applyAlignment="1">
      <alignment horizontal="left"/>
    </xf>
    <xf numFmtId="0" fontId="58" fillId="8" borderId="11" xfId="32" applyFont="1" applyBorder="1" applyAlignment="1">
      <alignment horizontal="left"/>
    </xf>
    <xf numFmtId="0" fontId="58" fillId="8" borderId="12" xfId="32" applyFont="1" applyBorder="1" applyAlignment="1">
      <alignment horizontal="left"/>
    </xf>
    <xf numFmtId="0" fontId="0" fillId="0" borderId="0" xfId="0" applyAlignment="1">
      <alignment horizontal="center"/>
    </xf>
    <xf numFmtId="0" fontId="1" fillId="0" borderId="0" xfId="191" applyFont="1" applyFill="1" applyAlignment="1">
      <alignment horizontal="center"/>
    </xf>
    <xf numFmtId="0" fontId="1" fillId="0" borderId="0" xfId="191" applyFont="1" applyAlignment="1">
      <alignment horizontal="center"/>
    </xf>
    <xf numFmtId="0" fontId="1" fillId="0" borderId="0" xfId="191" applyFont="1"/>
  </cellXfs>
  <cellStyles count="192">
    <cellStyle name="20% - Accent1 2" xfId="30"/>
    <cellStyle name="20% - Accent1 2 2" xfId="73"/>
    <cellStyle name="20% - Accent1 2 2 2" xfId="129"/>
    <cellStyle name="20% - Accent1 2 3" xfId="130"/>
    <cellStyle name="20% - Accent2 2" xfId="34"/>
    <cellStyle name="20% - Accent2 2 2" xfId="74"/>
    <cellStyle name="20% - Accent2 2 2 2" xfId="131"/>
    <cellStyle name="20% - Accent2 2 3" xfId="132"/>
    <cellStyle name="20% - Accent3 2" xfId="36"/>
    <cellStyle name="20% - Accent3 2 2" xfId="75"/>
    <cellStyle name="20% - Accent3 2 2 2" xfId="133"/>
    <cellStyle name="20% - Accent3 2 3" xfId="134"/>
    <cellStyle name="20% - Accent4 2" xfId="38"/>
    <cellStyle name="20% - Accent4 2 2" xfId="76"/>
    <cellStyle name="20% - Accent4 2 2 2" xfId="135"/>
    <cellStyle name="20% - Accent4 2 3" xfId="136"/>
    <cellStyle name="20% - Accent5 2" xfId="40"/>
    <cellStyle name="20% - Accent5 2 2" xfId="77"/>
    <cellStyle name="20% - Accent5 2 2 2" xfId="137"/>
    <cellStyle name="20% - Accent5 2 3" xfId="138"/>
    <cellStyle name="20% - Accent6 2" xfId="42"/>
    <cellStyle name="20% - Accent6 2 2" xfId="78"/>
    <cellStyle name="20% - Accent6 2 2 2" xfId="139"/>
    <cellStyle name="20% - Accent6 2 3" xfId="140"/>
    <cellStyle name="40% - Accent1 2" xfId="33"/>
    <cellStyle name="40% - Accent1 2 2" xfId="79"/>
    <cellStyle name="40% - Accent1 2 2 2" xfId="141"/>
    <cellStyle name="40% - Accent1 2 3" xfId="142"/>
    <cellStyle name="40% - Accent2 2" xfId="35"/>
    <cellStyle name="40% - Accent2 2 2" xfId="80"/>
    <cellStyle name="40% - Accent2 2 2 2" xfId="143"/>
    <cellStyle name="40% - Accent2 2 3" xfId="144"/>
    <cellStyle name="40% - Accent3 2" xfId="37"/>
    <cellStyle name="40% - Accent3 2 2" xfId="81"/>
    <cellStyle name="40% - Accent3 2 2 2" xfId="145"/>
    <cellStyle name="40% - Accent3 2 3" xfId="146"/>
    <cellStyle name="40% - Accent4 2" xfId="39"/>
    <cellStyle name="40% - Accent4 2 2" xfId="82"/>
    <cellStyle name="40% - Accent4 2 2 2" xfId="147"/>
    <cellStyle name="40% - Accent4 2 3" xfId="148"/>
    <cellStyle name="40% - Accent5 2" xfId="41"/>
    <cellStyle name="40% - Accent5 2 2" xfId="83"/>
    <cellStyle name="40% - Accent5 2 2 2" xfId="149"/>
    <cellStyle name="40% - Accent5 2 3" xfId="150"/>
    <cellStyle name="40% - Accent6 2" xfId="43"/>
    <cellStyle name="40% - Accent6 2 2" xfId="84"/>
    <cellStyle name="40% - Accent6 2 2 2" xfId="151"/>
    <cellStyle name="40% - Accent6 2 3" xfId="152"/>
    <cellStyle name="60% - Accent1" xfId="18" builtinId="32" customBuiltin="1"/>
    <cellStyle name="60% - Accent2" xfId="20" builtinId="36" customBuiltin="1"/>
    <cellStyle name="60% - Accent3" xfId="22" builtinId="40" customBuiltin="1"/>
    <cellStyle name="60% - Accent4" xfId="24" builtinId="44" customBuiltin="1"/>
    <cellStyle name="60% - Accent5" xfId="26" builtinId="48" customBuiltin="1"/>
    <cellStyle name="60% - Accent6" xfId="28" builtinId="52" customBuiltin="1"/>
    <cellStyle name="Accent1" xfId="17" builtinId="29" customBuiltin="1"/>
    <cellStyle name="Accent2" xfId="19" builtinId="33" customBuiltin="1"/>
    <cellStyle name="Accent3" xfId="21" builtinId="37" customBuiltin="1"/>
    <cellStyle name="Accent4" xfId="23" builtinId="41" customBuiltin="1"/>
    <cellStyle name="Accent5" xfId="25" builtinId="45" customBuiltin="1"/>
    <cellStyle name="Accent6" xfId="27" builtinId="49" customBuiltin="1"/>
    <cellStyle name="Bad" xfId="7" builtinId="27" customBuiltin="1"/>
    <cellStyle name="Calculation" xfId="11" builtinId="22" customBuiltin="1"/>
    <cellStyle name="Check Cell" xfId="13" builtinId="23" customBuiltin="1"/>
    <cellStyle name="Comma" xfId="49" builtinId="3"/>
    <cellStyle name="Comma 2" xfId="31"/>
    <cellStyle name="Comma 2 2" xfId="85"/>
    <cellStyle name="Comma 2 2 2" xfId="153"/>
    <cellStyle name="Comma 2 3" xfId="154"/>
    <cellStyle name="Currency 2" xfId="47"/>
    <cellStyle name="Currency 2 2" xfId="86"/>
    <cellStyle name="Currency 2 2 2" xfId="155"/>
    <cellStyle name="Currency 2 3" xfId="156"/>
    <cellStyle name="Currency 3" xfId="51"/>
    <cellStyle name="Currency 3 2" xfId="87"/>
    <cellStyle name="Currency 3 2 2" xfId="157"/>
    <cellStyle name="Currency 3 3" xfId="158"/>
    <cellStyle name="Currency 4" xfId="64"/>
    <cellStyle name="Currency 4 2" xfId="88"/>
    <cellStyle name="Currency 4 2 2" xfId="159"/>
    <cellStyle name="Currency 4 3" xfId="160"/>
    <cellStyle name="Explanatory Text" xfId="15" builtinId="53" customBuilti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2"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90" builtinId="8"/>
    <cellStyle name="Hyperlink 2" xfId="58"/>
    <cellStyle name="Hyperlink 3" xfId="62"/>
    <cellStyle name="Input" xfId="9" builtinId="20" customBuiltin="1"/>
    <cellStyle name="Linked Cell" xfId="12" builtinId="24" customBuiltin="1"/>
    <cellStyle name="Neutral" xfId="8" builtinId="28" customBuiltin="1"/>
    <cellStyle name="Normal" xfId="0" builtinId="0"/>
    <cellStyle name="Normal 10" xfId="61"/>
    <cellStyle name="Normal 11" xfId="63"/>
    <cellStyle name="Normal 11 2" xfId="89"/>
    <cellStyle name="Normal 11 2 2" xfId="161"/>
    <cellStyle name="Normal 11 3" xfId="162"/>
    <cellStyle name="Normal 12" xfId="68"/>
    <cellStyle name="Normal 12 2" xfId="90"/>
    <cellStyle name="Normal 12 2 2" xfId="163"/>
    <cellStyle name="Normal 12 3" xfId="164"/>
    <cellStyle name="Normal 2" xfId="29"/>
    <cellStyle name="Normal 2 2" xfId="48"/>
    <cellStyle name="Normal 2 3" xfId="91"/>
    <cellStyle name="Normal 2 3 2" xfId="165"/>
    <cellStyle name="Normal 2 4" xfId="166"/>
    <cellStyle name="Normal 3" xfId="45"/>
    <cellStyle name="Normal 4" xfId="46"/>
    <cellStyle name="Normal 4 2" xfId="92"/>
    <cellStyle name="Normal 4 2 2" xfId="167"/>
    <cellStyle name="Normal 4 3" xfId="168"/>
    <cellStyle name="Normal 5" xfId="50"/>
    <cellStyle name="Normal 5 2" xfId="93"/>
    <cellStyle name="Normal 5 2 2" xfId="169"/>
    <cellStyle name="Normal 5 3" xfId="170"/>
    <cellStyle name="Normal 6" xfId="56"/>
    <cellStyle name="Normal 6 2" xfId="65"/>
    <cellStyle name="Normal 6 2 2" xfId="95"/>
    <cellStyle name="Normal 6 2 2 2" xfId="171"/>
    <cellStyle name="Normal 6 2 3" xfId="172"/>
    <cellStyle name="Normal 6 3" xfId="67"/>
    <cellStyle name="Normal 6 3 2" xfId="69"/>
    <cellStyle name="Normal 6 3 2 2" xfId="97"/>
    <cellStyle name="Normal 6 3 2 2 2" xfId="173"/>
    <cellStyle name="Normal 6 3 2 3" xfId="174"/>
    <cellStyle name="Normal 6 3 3" xfId="96"/>
    <cellStyle name="Normal 6 3 3 2" xfId="175"/>
    <cellStyle name="Normal 6 3 4" xfId="176"/>
    <cellStyle name="Normal 6 4" xfId="70"/>
    <cellStyle name="Normal 6 4 2" xfId="98"/>
    <cellStyle name="Normal 6 4 3" xfId="177"/>
    <cellStyle name="Normal 6 5" xfId="94"/>
    <cellStyle name="Normal 6 6" xfId="178"/>
    <cellStyle name="Normal 7" xfId="57"/>
    <cellStyle name="Normal 7 2" xfId="99"/>
    <cellStyle name="Normal 7 2 2" xfId="179"/>
    <cellStyle name="Normal 7 3" xfId="180"/>
    <cellStyle name="Normal 7 4" xfId="191"/>
    <cellStyle name="Normal 8" xfId="59"/>
    <cellStyle name="Normal 8 2" xfId="100"/>
    <cellStyle name="Normal 8 2 2" xfId="181"/>
    <cellStyle name="Normal 8 3" xfId="182"/>
    <cellStyle name="Normal 9" xfId="60"/>
    <cellStyle name="Normal 9 2" xfId="66"/>
    <cellStyle name="Normal 9 2 2" xfId="71"/>
    <cellStyle name="Normal 9 2 2 2" xfId="183"/>
    <cellStyle name="Normal 9 2 3" xfId="72"/>
    <cellStyle name="Normal 9 2 3 2" xfId="128"/>
    <cellStyle name="Normal 9 2 4" xfId="127"/>
    <cellStyle name="Normal 9 3" xfId="101"/>
    <cellStyle name="Normal 9 3 2" xfId="184"/>
    <cellStyle name="Normal 9 4" xfId="185"/>
    <cellStyle name="Normal_Cause &amp; Effect Matrix SigmaXL 3" xfId="53"/>
    <cellStyle name="Normal_GAUGESTUDYSTR-new format" xfId="54"/>
    <cellStyle name="Normal_NewSigmaXL" xfId="55"/>
    <cellStyle name="Note 2" xfId="32"/>
    <cellStyle name="Note 2 2" xfId="102"/>
    <cellStyle name="Note 2 2 2" xfId="186"/>
    <cellStyle name="Note 2 3" xfId="187"/>
    <cellStyle name="Output" xfId="10" builtinId="21" customBuiltin="1"/>
    <cellStyle name="Percent 2" xfId="44"/>
    <cellStyle name="Percent 2 2" xfId="103"/>
    <cellStyle name="Percent 2 2 2" xfId="188"/>
    <cellStyle name="Percent 2 3" xfId="189"/>
    <cellStyle name="Title" xfId="1" builtinId="15" customBuiltin="1"/>
    <cellStyle name="Total" xfId="16" builtinId="25" customBuiltin="1"/>
    <cellStyle name="Warning Text" xfId="14" builtinId="11" customBuiltin="1"/>
  </cellStyles>
  <dxfs count="6">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7"/>
    </mc:Choice>
    <mc:Fallback>
      <c:style val="47"/>
    </mc:Fallback>
  </mc:AlternateContent>
  <c:chart>
    <c:title>
      <c:tx>
        <c:rich>
          <a:bodyPr/>
          <a:lstStyle/>
          <a:p>
            <a:pPr>
              <a:defRPr/>
            </a:pPr>
            <a:r>
              <a:rPr lang="en-US"/>
              <a:t>CIC Funding Sources - estimate:</a:t>
            </a:r>
          </a:p>
          <a:p>
            <a:pPr>
              <a:defRPr/>
            </a:pPr>
            <a:r>
              <a:rPr lang="en-US"/>
              <a:t>2004</a:t>
            </a:r>
            <a:r>
              <a:rPr lang="en-US" baseline="0"/>
              <a:t> - 2018</a:t>
            </a:r>
            <a:endParaRPr lang="en-US"/>
          </a:p>
        </c:rich>
      </c:tx>
      <c:layout>
        <c:manualLayout>
          <c:xMode val="edge"/>
          <c:yMode val="edge"/>
          <c:x val="0.49966908297101359"/>
          <c:y val="2.1758833315343746E-2"/>
        </c:manualLayout>
      </c:layout>
      <c:overlay val="0"/>
    </c:title>
    <c:autoTitleDeleted val="0"/>
    <c:plotArea>
      <c:layout/>
      <c:pieChart>
        <c:varyColors val="1"/>
        <c:ser>
          <c:idx val="0"/>
          <c:order val="0"/>
          <c:explosion val="8"/>
          <c:dLbls>
            <c:dLbl>
              <c:idx val="3"/>
              <c:layout>
                <c:manualLayout>
                  <c:x val="0.11396369564699196"/>
                  <c:y val="-0.181872626492969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2B2-487D-97B6-8BC8031E4AB0}"/>
                </c:ext>
              </c:extLst>
            </c:dLbl>
            <c:spPr>
              <a:noFill/>
              <a:ln>
                <a:noFill/>
              </a:ln>
              <a:effectLst/>
            </c:spPr>
            <c:dLblPos val="bestFit"/>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('Budget with Funders'!$A$35,'Budget with Funders'!$A$46,'Budget with Funders'!$A$50,'Budget with Funders'!$A$56)</c:f>
              <c:strCache>
                <c:ptCount val="4"/>
                <c:pt idx="0">
                  <c:v>Subtotal Web and Outreach Partnerships</c:v>
                </c:pt>
                <c:pt idx="1">
                  <c:v>Subtotal Foundations &amp; Special Projects</c:v>
                </c:pt>
                <c:pt idx="2">
                  <c:v>College Access Challege Grant (CACG) - federal funds</c:v>
                </c:pt>
                <c:pt idx="3">
                  <c:v>Estimate of College Assist (federal) funds</c:v>
                </c:pt>
              </c:strCache>
            </c:strRef>
          </c:cat>
          <c:val>
            <c:numRef>
              <c:f>('Budget with Funders'!$BA$35,'Budget with Funders'!$BA$46,'Budget with Funders'!$BA$50,'Budget with Funders'!$BA$56)</c:f>
              <c:numCache>
                <c:formatCode>_("$"* #,##0_);_("$"* \(#,##0\);_("$"* "-"??_);_(@_)</c:formatCode>
                <c:ptCount val="4"/>
                <c:pt idx="0">
                  <c:v>3403422.29</c:v>
                </c:pt>
                <c:pt idx="1">
                  <c:v>576000</c:v>
                </c:pt>
                <c:pt idx="2">
                  <c:v>1756666</c:v>
                </c:pt>
                <c:pt idx="3">
                  <c:v>33199095.710000001</c:v>
                </c:pt>
              </c:numCache>
            </c:numRef>
          </c:val>
          <c:extLst xmlns:c16r2="http://schemas.microsoft.com/office/drawing/2015/06/chart">
            <c:ext xmlns:c16="http://schemas.microsoft.com/office/drawing/2014/chart" uri="{C3380CC4-5D6E-409C-BE32-E72D297353CC}">
              <c16:uniqueId val="{00000001-52B2-487D-97B6-8BC8031E4AB0}"/>
            </c:ext>
          </c:extLst>
        </c:ser>
        <c:dLbls>
          <c:dLblPos val="bestFit"/>
          <c:showLegendKey val="0"/>
          <c:showVal val="0"/>
          <c:showCatName val="0"/>
          <c:showSerName val="0"/>
          <c:showPercent val="1"/>
          <c:showBubbleSize val="0"/>
          <c:showLeaderLines val="1"/>
        </c:dLbls>
        <c:firstSliceAng val="0"/>
      </c:pieChart>
      <c:spPr>
        <a:effectLst>
          <a:glow rad="139700">
            <a:schemeClr val="accent1">
              <a:satMod val="175000"/>
              <a:alpha val="40000"/>
            </a:schemeClr>
          </a:glow>
        </a:effectLst>
      </c:spPr>
    </c:plotArea>
    <c:legend>
      <c:legendPos val="r"/>
      <c:layout>
        <c:manualLayout>
          <c:xMode val="edge"/>
          <c:yMode val="edge"/>
          <c:x val="0.60665525531541586"/>
          <c:y val="0.25358502002364725"/>
          <c:w val="0.32882862405598118"/>
          <c:h val="0.45053311045282551"/>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solidFill>
                  <a:srgbClr val="FF0000"/>
                </a:solidFill>
              </a:defRPr>
            </a:pPr>
            <a:r>
              <a:rPr lang="en-US" sz="2000">
                <a:solidFill>
                  <a:srgbClr val="FF0000"/>
                </a:solidFill>
              </a:rPr>
              <a:t>CIC Then and Now</a:t>
            </a:r>
          </a:p>
        </c:rich>
      </c:tx>
      <c:layout>
        <c:manualLayout>
          <c:xMode val="edge"/>
          <c:yMode val="edge"/>
          <c:x val="0.42268542099893308"/>
          <c:y val="0"/>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8.8409230745266632E-2"/>
          <c:y val="8.1178594357195724E-2"/>
          <c:w val="0.88983013621813589"/>
          <c:h val="0.84894230091310041"/>
        </c:manualLayout>
      </c:layout>
      <c:bar3DChart>
        <c:barDir val="col"/>
        <c:grouping val="clustered"/>
        <c:varyColors val="0"/>
        <c:ser>
          <c:idx val="0"/>
          <c:order val="0"/>
          <c:invertIfNegative val="0"/>
          <c:dPt>
            <c:idx val="4"/>
            <c:invertIfNegative val="0"/>
            <c:bubble3D val="0"/>
            <c:spPr>
              <a:solidFill>
                <a:srgbClr val="92D050"/>
              </a:solidFill>
            </c:spPr>
            <c:extLst xmlns:c16r2="http://schemas.microsoft.com/office/drawing/2015/06/chart">
              <c:ext xmlns:c16="http://schemas.microsoft.com/office/drawing/2014/chart" uri="{C3380CC4-5D6E-409C-BE32-E72D297353CC}">
                <c16:uniqueId val="{00000001-A7D0-424C-83A0-963545A8C4A1}"/>
              </c:ext>
            </c:extLst>
          </c:dPt>
          <c:dLbls>
            <c:dLbl>
              <c:idx val="0"/>
              <c:layout>
                <c:manualLayout>
                  <c:x val="2.2867194371152186E-2"/>
                  <c:y val="-2.9197087750148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7D0-424C-83A0-963545A8C4A1}"/>
                </c:ext>
              </c:extLst>
            </c:dLbl>
            <c:dLbl>
              <c:idx val="1"/>
              <c:layout>
                <c:manualLayout>
                  <c:x val="2.1108179419525065E-2"/>
                  <c:y val="-2.9197087750148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7D0-424C-83A0-963545A8C4A1}"/>
                </c:ext>
              </c:extLst>
            </c:dLbl>
            <c:dLbl>
              <c:idx val="2"/>
              <c:layout>
                <c:manualLayout>
                  <c:x val="1.9349164467897976E-2"/>
                  <c:y val="-3.244120861127627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7D0-424C-83A0-963545A8C4A1}"/>
                </c:ext>
              </c:extLst>
            </c:dLbl>
            <c:dLbl>
              <c:idx val="3"/>
              <c:layout>
                <c:manualLayout>
                  <c:x val="1.759014951627089E-2"/>
                  <c:y val="-2.9197087750148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7D0-424C-83A0-963545A8C4A1}"/>
                </c:ext>
              </c:extLst>
            </c:dLbl>
            <c:dLbl>
              <c:idx val="4"/>
              <c:layout>
                <c:manualLayout>
                  <c:x val="1.5831134564643669E-2"/>
                  <c:y val="-2.9197087750148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7D0-424C-83A0-963545A8C4A1}"/>
                </c:ext>
              </c:extLst>
            </c:dLbl>
            <c:spPr>
              <a:solidFill>
                <a:srgbClr val="FFFF99"/>
              </a:solidFill>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'Analytics Then and Now'!$B$33:$B$37</c:f>
              <c:strCache>
                <c:ptCount val="5"/>
                <c:pt idx="0">
                  <c:v>FY2002</c:v>
                </c:pt>
                <c:pt idx="1">
                  <c:v>FY2003</c:v>
                </c:pt>
                <c:pt idx="2">
                  <c:v>FY2004</c:v>
                </c:pt>
                <c:pt idx="3">
                  <c:v>FY2005</c:v>
                </c:pt>
                <c:pt idx="4">
                  <c:v>Avg FY2015-17</c:v>
                </c:pt>
              </c:strCache>
            </c:strRef>
          </c:cat>
          <c:val>
            <c:numRef>
              <c:f>'Analytics Then and Now'!$C$33:$C$37</c:f>
              <c:numCache>
                <c:formatCode>#,##0</c:formatCode>
                <c:ptCount val="5"/>
                <c:pt idx="0">
                  <c:v>43976</c:v>
                </c:pt>
                <c:pt idx="1">
                  <c:v>240110</c:v>
                </c:pt>
                <c:pt idx="2">
                  <c:v>224804</c:v>
                </c:pt>
                <c:pt idx="3">
                  <c:v>350062</c:v>
                </c:pt>
                <c:pt idx="4">
                  <c:v>1112181</c:v>
                </c:pt>
              </c:numCache>
            </c:numRef>
          </c:val>
          <c:extLst xmlns:c16r2="http://schemas.microsoft.com/office/drawing/2015/06/chart">
            <c:ext xmlns:c16="http://schemas.microsoft.com/office/drawing/2014/chart" uri="{C3380CC4-5D6E-409C-BE32-E72D297353CC}">
              <c16:uniqueId val="{00000006-A7D0-424C-83A0-963545A8C4A1}"/>
            </c:ext>
          </c:extLst>
        </c:ser>
        <c:dLbls>
          <c:showLegendKey val="0"/>
          <c:showVal val="1"/>
          <c:showCatName val="0"/>
          <c:showSerName val="0"/>
          <c:showPercent val="0"/>
          <c:showBubbleSize val="0"/>
        </c:dLbls>
        <c:gapWidth val="150"/>
        <c:shape val="box"/>
        <c:axId val="521006592"/>
        <c:axId val="102189888"/>
        <c:axId val="0"/>
      </c:bar3DChart>
      <c:catAx>
        <c:axId val="521006592"/>
        <c:scaling>
          <c:orientation val="minMax"/>
        </c:scaling>
        <c:delete val="0"/>
        <c:axPos val="b"/>
        <c:numFmt formatCode="General" sourceLinked="0"/>
        <c:majorTickMark val="out"/>
        <c:minorTickMark val="none"/>
        <c:tickLblPos val="nextTo"/>
        <c:crossAx val="102189888"/>
        <c:crosses val="autoZero"/>
        <c:auto val="1"/>
        <c:lblAlgn val="ctr"/>
        <c:lblOffset val="100"/>
        <c:noMultiLvlLbl val="0"/>
      </c:catAx>
      <c:valAx>
        <c:axId val="102189888"/>
        <c:scaling>
          <c:orientation val="minMax"/>
        </c:scaling>
        <c:delete val="0"/>
        <c:axPos val="l"/>
        <c:majorGridlines/>
        <c:title>
          <c:tx>
            <c:rich>
              <a:bodyPr rot="0" vert="horz"/>
              <a:lstStyle/>
              <a:p>
                <a:pPr>
                  <a:defRPr/>
                </a:pPr>
                <a:r>
                  <a:rPr lang="en-US">
                    <a:solidFill>
                      <a:schemeClr val="accent1"/>
                    </a:solidFill>
                  </a:rPr>
                  <a:t>Site Visits</a:t>
                </a:r>
                <a:r>
                  <a:rPr lang="en-US"/>
                  <a:t>/</a:t>
                </a:r>
                <a:r>
                  <a:rPr lang="en-US">
                    <a:solidFill>
                      <a:srgbClr val="00B050"/>
                    </a:solidFill>
                  </a:rPr>
                  <a:t>Sessions</a:t>
                </a:r>
              </a:p>
            </c:rich>
          </c:tx>
          <c:layout>
            <c:manualLayout>
              <c:xMode val="edge"/>
              <c:yMode val="edge"/>
              <c:x val="1.9321878960380613E-2"/>
              <c:y val="4.0559684926894886E-2"/>
            </c:manualLayout>
          </c:layout>
          <c:overlay val="0"/>
          <c:spPr>
            <a:ln>
              <a:solidFill>
                <a:sysClr val="windowText" lastClr="000000"/>
              </a:solidFill>
            </a:ln>
          </c:spPr>
        </c:title>
        <c:numFmt formatCode="#,##0;\-#,##0" sourceLinked="0"/>
        <c:majorTickMark val="out"/>
        <c:minorTickMark val="none"/>
        <c:tickLblPos val="nextTo"/>
        <c:crossAx val="5210065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600"/>
            </a:pPr>
            <a:r>
              <a:rPr lang="en-US" sz="1600"/>
              <a:t>Pageviews by Category</a:t>
            </a:r>
          </a:p>
        </c:rich>
      </c:tx>
      <c:overlay val="1"/>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0.17925059980999308"/>
                  <c:y val="7.9061899559205784E-2"/>
                </c:manualLayout>
              </c:layout>
              <c:numFmt formatCode="General" sourceLinked="0"/>
              <c:spPr/>
              <c:txPr>
                <a:bodyPr/>
                <a:lstStyle/>
                <a:p>
                  <a:pPr>
                    <a:defRPr b="1">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73C-47A1-867C-C30286DB21BB}"/>
                </c:ext>
              </c:extLst>
            </c:dLbl>
            <c:dLbl>
              <c:idx val="1"/>
              <c:layout>
                <c:manualLayout>
                  <c:x val="-0.25384168236639137"/>
                  <c:y val="-0.24511999397204537"/>
                </c:manualLayout>
              </c:layout>
              <c:numFmt formatCode="General" sourceLinked="0"/>
              <c:spPr/>
              <c:txPr>
                <a:bodyPr/>
                <a:lstStyle/>
                <a:p>
                  <a:pPr>
                    <a:defRPr b="1">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73C-47A1-867C-C30286DB21BB}"/>
                </c:ext>
              </c:extLst>
            </c:dLbl>
            <c:dLbl>
              <c:idx val="5"/>
              <c:numFmt formatCode="General" sourceLinked="0"/>
              <c:spPr/>
              <c:txPr>
                <a:bodyPr/>
                <a:lstStyle/>
                <a:p>
                  <a:pPr>
                    <a:defRPr b="1">
                      <a:solidFill>
                        <a:sysClr val="windowText" lastClr="000000"/>
                      </a:solidFill>
                    </a:defRPr>
                  </a:pPr>
                  <a:endParaRPr lang="en-US"/>
                </a:p>
              </c:txPr>
              <c:showLegendKey val="0"/>
              <c:showVal val="0"/>
              <c:showCatName val="1"/>
              <c:showSerName val="0"/>
              <c:showPercent val="1"/>
              <c:showBubbleSize val="0"/>
            </c:dLbl>
            <c:numFmt formatCode="General" sourceLinked="0"/>
            <c:spPr>
              <a:noFill/>
              <a:ln>
                <a:noFill/>
              </a:ln>
              <a:effectLst/>
            </c:spPr>
            <c:txPr>
              <a:bodyPr/>
              <a:lstStyle/>
              <a:p>
                <a:pPr>
                  <a:defRPr b="1"/>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'Top CIC Pages'!$A$33:$A$39</c:f>
              <c:strCache>
                <c:ptCount val="7"/>
                <c:pt idx="0">
                  <c:v>Career Exploration</c:v>
                </c:pt>
                <c:pt idx="1">
                  <c:v>Self Exploration, Assessments</c:v>
                </c:pt>
                <c:pt idx="2">
                  <c:v>Postsecondary Planning</c:v>
                </c:pt>
                <c:pt idx="3">
                  <c:v>Scholarship Finder</c:v>
                </c:pt>
                <c:pt idx="4">
                  <c:v>Job Preparation</c:v>
                </c:pt>
                <c:pt idx="5">
                  <c:v>Career and Academic Planning</c:v>
                </c:pt>
                <c:pt idx="6">
                  <c:v>Portfolio and Account Access</c:v>
                </c:pt>
              </c:strCache>
            </c:strRef>
          </c:cat>
          <c:val>
            <c:numRef>
              <c:f>'Top CIC Pages'!$B$33:$B$39</c:f>
              <c:numCache>
                <c:formatCode>#,##0</c:formatCode>
                <c:ptCount val="7"/>
                <c:pt idx="0">
                  <c:v>1806581</c:v>
                </c:pt>
                <c:pt idx="1">
                  <c:v>1768350</c:v>
                </c:pt>
                <c:pt idx="2">
                  <c:v>253983</c:v>
                </c:pt>
                <c:pt idx="3">
                  <c:v>468388</c:v>
                </c:pt>
                <c:pt idx="4">
                  <c:v>168915</c:v>
                </c:pt>
                <c:pt idx="5">
                  <c:v>961831</c:v>
                </c:pt>
                <c:pt idx="6">
                  <c:v>1786281</c:v>
                </c:pt>
              </c:numCache>
            </c:numRef>
          </c:val>
          <c:extLst xmlns:c16r2="http://schemas.microsoft.com/office/drawing/2015/06/chart">
            <c:ext xmlns:c16="http://schemas.microsoft.com/office/drawing/2014/chart" uri="{C3380CC4-5D6E-409C-BE32-E72D297353CC}">
              <c16:uniqueId val="{00000003-073C-47A1-867C-C30286DB21BB}"/>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dLbls>
            <c:numFmt formatCode="0.0%" sourceLinked="0"/>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'Money 101 &amp; CAT Stats'!$A$8:$A$17</c:f>
              <c:strCache>
                <c:ptCount val="10"/>
                <c:pt idx="0">
                  <c:v>Psychology of Money</c:v>
                </c:pt>
                <c:pt idx="1">
                  <c:v>Paying for College</c:v>
                </c:pt>
                <c:pt idx="2">
                  <c:v>Money Management</c:v>
                </c:pt>
                <c:pt idx="3">
                  <c:v>Income</c:v>
                </c:pt>
                <c:pt idx="4">
                  <c:v>Saving and Investing</c:v>
                </c:pt>
                <c:pt idx="5">
                  <c:v>Credit</c:v>
                </c:pt>
                <c:pt idx="6">
                  <c:v>Spending </c:v>
                </c:pt>
                <c:pt idx="7">
                  <c:v>Identity Theft</c:v>
                </c:pt>
                <c:pt idx="8">
                  <c:v>Taxes</c:v>
                </c:pt>
                <c:pt idx="9">
                  <c:v>Insurance</c:v>
                </c:pt>
              </c:strCache>
            </c:strRef>
          </c:cat>
          <c:val>
            <c:numRef>
              <c:f>'Money 101 &amp; CAT Stats'!$B$8:$B$17</c:f>
              <c:numCache>
                <c:formatCode>#,##0</c:formatCode>
                <c:ptCount val="10"/>
                <c:pt idx="0">
                  <c:v>34245</c:v>
                </c:pt>
                <c:pt idx="1">
                  <c:v>27857</c:v>
                </c:pt>
                <c:pt idx="2">
                  <c:v>27457</c:v>
                </c:pt>
                <c:pt idx="3">
                  <c:v>26036</c:v>
                </c:pt>
                <c:pt idx="4">
                  <c:v>20358</c:v>
                </c:pt>
                <c:pt idx="5">
                  <c:v>20118</c:v>
                </c:pt>
                <c:pt idx="6">
                  <c:v>19595</c:v>
                </c:pt>
                <c:pt idx="7">
                  <c:v>17179</c:v>
                </c:pt>
                <c:pt idx="8">
                  <c:v>16974</c:v>
                </c:pt>
                <c:pt idx="9">
                  <c:v>16863</c:v>
                </c:pt>
              </c:numCache>
            </c:numRef>
          </c:val>
          <c:extLst xmlns:c16r2="http://schemas.microsoft.com/office/drawing/2015/06/chart">
            <c:ext xmlns:c16="http://schemas.microsoft.com/office/drawing/2014/chart" uri="{C3380CC4-5D6E-409C-BE32-E72D297353CC}">
              <c16:uniqueId val="{00000000-2475-493A-9B22-B404D7AB2E32}"/>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23</xdr:col>
      <xdr:colOff>9525</xdr:colOff>
      <xdr:row>3</xdr:row>
      <xdr:rowOff>142875</xdr:rowOff>
    </xdr:from>
    <xdr:to>
      <xdr:col>24</xdr:col>
      <xdr:colOff>571500</xdr:colOff>
      <xdr:row>13</xdr:row>
      <xdr:rowOff>38100</xdr:rowOff>
    </xdr:to>
    <xdr:sp macro="" textlink="">
      <xdr:nvSpPr>
        <xdr:cNvPr id="2" name="Right Arrow 1">
          <a:extLst>
            <a:ext uri="{FF2B5EF4-FFF2-40B4-BE49-F238E27FC236}">
              <a16:creationId xmlns="" xmlns:a16="http://schemas.microsoft.com/office/drawing/2014/main" id="{00000000-0008-0000-0600-000002000000}"/>
            </a:ext>
          </a:extLst>
        </xdr:cNvPr>
        <xdr:cNvSpPr/>
      </xdr:nvSpPr>
      <xdr:spPr>
        <a:xfrm>
          <a:off x="11563350" y="771525"/>
          <a:ext cx="1247775" cy="3143250"/>
        </a:xfrm>
        <a:prstGeom prst="rightArrow">
          <a:avLst>
            <a:gd name="adj1" fmla="val 50000"/>
            <a:gd name="adj2" fmla="val 515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Updated</a:t>
          </a:r>
          <a:r>
            <a:rPr lang="en-US" sz="1400" b="1" baseline="0"/>
            <a:t> Product Launch</a:t>
          </a:r>
          <a:endParaRPr lang="en-US" sz="1400" b="1"/>
        </a:p>
      </xdr:txBody>
    </xdr:sp>
    <xdr:clientData/>
  </xdr:twoCellAnchor>
  <xdr:twoCellAnchor>
    <xdr:from>
      <xdr:col>17</xdr:col>
      <xdr:colOff>80527</xdr:colOff>
      <xdr:row>21</xdr:row>
      <xdr:rowOff>10391</xdr:rowOff>
    </xdr:from>
    <xdr:to>
      <xdr:col>20</xdr:col>
      <xdr:colOff>31172</xdr:colOff>
      <xdr:row>33</xdr:row>
      <xdr:rowOff>134216</xdr:rowOff>
    </xdr:to>
    <xdr:sp macro="" textlink="">
      <xdr:nvSpPr>
        <xdr:cNvPr id="3" name="Right Arrow 2">
          <a:extLst>
            <a:ext uri="{FF2B5EF4-FFF2-40B4-BE49-F238E27FC236}">
              <a16:creationId xmlns="" xmlns:a16="http://schemas.microsoft.com/office/drawing/2014/main" id="{00000000-0008-0000-0600-000003000000}"/>
            </a:ext>
          </a:extLst>
        </xdr:cNvPr>
        <xdr:cNvSpPr/>
      </xdr:nvSpPr>
      <xdr:spPr>
        <a:xfrm rot="10800000" flipV="1">
          <a:off x="8891152" y="5992091"/>
          <a:ext cx="1322245" cy="3209925"/>
        </a:xfrm>
        <a:prstGeom prst="rightArrow">
          <a:avLst>
            <a:gd name="adj1" fmla="val 50000"/>
            <a:gd name="adj2" fmla="val 5152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CIC.org </a:t>
          </a:r>
          <a:r>
            <a:rPr lang="en-US" sz="1400" b="1" baseline="0"/>
            <a:t>Shutdown</a:t>
          </a:r>
          <a:endParaRPr lang="en-US" sz="1400" b="1"/>
        </a:p>
      </xdr:txBody>
    </xdr:sp>
    <xdr:clientData/>
  </xdr:twoCellAnchor>
  <xdr:twoCellAnchor>
    <xdr:from>
      <xdr:col>3</xdr:col>
      <xdr:colOff>0</xdr:colOff>
      <xdr:row>3</xdr:row>
      <xdr:rowOff>8659</xdr:rowOff>
    </xdr:from>
    <xdr:to>
      <xdr:col>6</xdr:col>
      <xdr:colOff>372341</xdr:colOff>
      <xdr:row>15</xdr:row>
      <xdr:rowOff>0</xdr:rowOff>
    </xdr:to>
    <xdr:cxnSp macro="">
      <xdr:nvCxnSpPr>
        <xdr:cNvPr id="4" name="Straight Connector 3"/>
        <xdr:cNvCxnSpPr/>
      </xdr:nvCxnSpPr>
      <xdr:spPr>
        <a:xfrm flipH="1">
          <a:off x="2409825" y="637309"/>
          <a:ext cx="1743941" cy="3639416"/>
        </a:xfrm>
        <a:prstGeom prst="line">
          <a:avLst/>
        </a:prstGeom>
        <a:ln w="28575">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432954</xdr:colOff>
      <xdr:row>2</xdr:row>
      <xdr:rowOff>216478</xdr:rowOff>
    </xdr:from>
    <xdr:to>
      <xdr:col>16</xdr:col>
      <xdr:colOff>0</xdr:colOff>
      <xdr:row>15</xdr:row>
      <xdr:rowOff>8659</xdr:rowOff>
    </xdr:to>
    <xdr:cxnSp macro="">
      <xdr:nvCxnSpPr>
        <xdr:cNvPr id="5" name="Straight Connector 4"/>
        <xdr:cNvCxnSpPr/>
      </xdr:nvCxnSpPr>
      <xdr:spPr>
        <a:xfrm>
          <a:off x="6043179" y="597478"/>
          <a:ext cx="2310246" cy="3687906"/>
        </a:xfrm>
        <a:prstGeom prst="line">
          <a:avLst/>
        </a:prstGeom>
        <a:ln w="28575">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17318</xdr:colOff>
      <xdr:row>14</xdr:row>
      <xdr:rowOff>190501</xdr:rowOff>
    </xdr:from>
    <xdr:to>
      <xdr:col>22</xdr:col>
      <xdr:colOff>389659</xdr:colOff>
      <xdr:row>20</xdr:row>
      <xdr:rowOff>8659</xdr:rowOff>
    </xdr:to>
    <xdr:sp macro="" textlink="">
      <xdr:nvSpPr>
        <xdr:cNvPr id="6" name="TextBox 5"/>
        <xdr:cNvSpPr txBox="1"/>
      </xdr:nvSpPr>
      <xdr:spPr>
        <a:xfrm>
          <a:off x="8370743" y="4267201"/>
          <a:ext cx="3115541" cy="1532658"/>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 Go/No</a:t>
          </a:r>
          <a:r>
            <a:rPr lang="en-US" sz="1100" b="1" baseline="0"/>
            <a:t>-Go Decision by June:</a:t>
          </a:r>
        </a:p>
        <a:p>
          <a:r>
            <a:rPr lang="en-US" sz="1100"/>
            <a:t>     </a:t>
          </a:r>
          <a:r>
            <a:rPr lang="en-US" sz="1000"/>
            <a:t>Find another $700K to continue CIC and build new product</a:t>
          </a:r>
          <a:r>
            <a:rPr lang="en-US" sz="1000" baseline="0"/>
            <a:t> through 6/30/19</a:t>
          </a:r>
        </a:p>
        <a:p>
          <a:endParaRPr lang="en-US" sz="1000"/>
        </a:p>
        <a:p>
          <a:r>
            <a:rPr lang="en-US" sz="1000"/>
            <a:t>     Determine feasibility and ballpark cost of new product (</a:t>
          </a:r>
          <a:r>
            <a:rPr lang="en-US" sz="1000" baseline="0"/>
            <a:t>evaluate </a:t>
          </a:r>
          <a:r>
            <a:rPr lang="en-US" sz="1000"/>
            <a:t>RFI responses). Find funding to build.</a:t>
          </a:r>
        </a:p>
        <a:p>
          <a:endParaRPr lang="en-US" sz="1000"/>
        </a:p>
        <a:p>
          <a:r>
            <a:rPr lang="en-US" sz="1000"/>
            <a:t>      Obtain agencies' commitment to sustained future f</a:t>
          </a:r>
          <a:r>
            <a:rPr lang="en-US" sz="1000" baseline="0"/>
            <a:t>unding and governance participation after FY 2019</a:t>
          </a:r>
          <a:endParaRPr lang="en-US" sz="1000"/>
        </a:p>
        <a:p>
          <a:r>
            <a:rPr lang="en-US" sz="1000"/>
            <a:t>	</a:t>
          </a:r>
        </a:p>
      </xdr:txBody>
    </xdr:sp>
    <xdr:clientData/>
  </xdr:twoCellAnchor>
  <xdr:twoCellAnchor>
    <xdr:from>
      <xdr:col>16</xdr:col>
      <xdr:colOff>95250</xdr:colOff>
      <xdr:row>16</xdr:row>
      <xdr:rowOff>25977</xdr:rowOff>
    </xdr:from>
    <xdr:to>
      <xdr:col>16</xdr:col>
      <xdr:colOff>190499</xdr:colOff>
      <xdr:row>16</xdr:row>
      <xdr:rowOff>138546</xdr:rowOff>
    </xdr:to>
    <xdr:sp macro="" textlink="">
      <xdr:nvSpPr>
        <xdr:cNvPr id="7" name="5-Point Star 6"/>
        <xdr:cNvSpPr/>
      </xdr:nvSpPr>
      <xdr:spPr>
        <a:xfrm>
          <a:off x="8448675" y="4502727"/>
          <a:ext cx="95249" cy="11256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121227</xdr:colOff>
      <xdr:row>16</xdr:row>
      <xdr:rowOff>502229</xdr:rowOff>
    </xdr:from>
    <xdr:to>
      <xdr:col>16</xdr:col>
      <xdr:colOff>216476</xdr:colOff>
      <xdr:row>17</xdr:row>
      <xdr:rowOff>34639</xdr:rowOff>
    </xdr:to>
    <xdr:sp macro="" textlink="">
      <xdr:nvSpPr>
        <xdr:cNvPr id="8" name="5-Point Star 7"/>
        <xdr:cNvSpPr/>
      </xdr:nvSpPr>
      <xdr:spPr>
        <a:xfrm>
          <a:off x="8474652" y="4978979"/>
          <a:ext cx="95249" cy="11343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147204</xdr:colOff>
      <xdr:row>18</xdr:row>
      <xdr:rowOff>51957</xdr:rowOff>
    </xdr:from>
    <xdr:to>
      <xdr:col>16</xdr:col>
      <xdr:colOff>242453</xdr:colOff>
      <xdr:row>18</xdr:row>
      <xdr:rowOff>164526</xdr:rowOff>
    </xdr:to>
    <xdr:sp macro="" textlink="">
      <xdr:nvSpPr>
        <xdr:cNvPr id="9" name="5-Point Star 8"/>
        <xdr:cNvSpPr/>
      </xdr:nvSpPr>
      <xdr:spPr>
        <a:xfrm>
          <a:off x="8500629" y="5462157"/>
          <a:ext cx="95249" cy="11256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390526</xdr:colOff>
      <xdr:row>9</xdr:row>
      <xdr:rowOff>119148</xdr:rowOff>
    </xdr:from>
    <xdr:to>
      <xdr:col>14</xdr:col>
      <xdr:colOff>15875</xdr:colOff>
      <xdr:row>38</xdr:row>
      <xdr:rowOff>195317</xdr:rowOff>
    </xdr:to>
    <xdr:pic>
      <xdr:nvPicPr>
        <xdr:cNvPr id="2" name="Picture 1">
          <a:extLst>
            <a:ext uri="{FF2B5EF4-FFF2-40B4-BE49-F238E27FC236}">
              <a16:creationId xmlns:a16="http://schemas.microsoft.com/office/drawing/2014/main" xmlns=""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5776" y="2008273"/>
          <a:ext cx="7816849" cy="6061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619125</xdr:colOff>
      <xdr:row>61</xdr:row>
      <xdr:rowOff>171450</xdr:rowOff>
    </xdr:from>
    <xdr:ext cx="7248525" cy="843821"/>
    <xdr:sp macro="" textlink="">
      <xdr:nvSpPr>
        <xdr:cNvPr id="2" name="TextBox 1">
          <a:extLst>
            <a:ext uri="{FF2B5EF4-FFF2-40B4-BE49-F238E27FC236}">
              <a16:creationId xmlns:a16="http://schemas.microsoft.com/office/drawing/2014/main" xmlns="" id="{00000000-0008-0000-1400-000002000000}"/>
            </a:ext>
          </a:extLst>
        </xdr:cNvPr>
        <xdr:cNvSpPr txBox="1"/>
      </xdr:nvSpPr>
      <xdr:spPr>
        <a:xfrm>
          <a:off x="619125" y="12611100"/>
          <a:ext cx="724852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24-46.3-103 in 2014, tasking the state council to work collaboratively with the </a:t>
          </a:r>
          <a:r>
            <a:rPr lang="en-US" sz="1200">
              <a:solidFill>
                <a:srgbClr val="FF0000"/>
              </a:solidFill>
              <a:effectLst/>
              <a:latin typeface="+mn-lt"/>
              <a:ea typeface="+mn-ea"/>
              <a:cs typeface="+mn-cs"/>
            </a:rPr>
            <a:t>Department of Higher Education</a:t>
          </a:r>
          <a:r>
            <a:rPr lang="en-US" sz="1200">
              <a:solidFill>
                <a:schemeClr val="tx1"/>
              </a:solidFill>
              <a:effectLst/>
              <a:latin typeface="+mn-lt"/>
              <a:ea typeface="+mn-ea"/>
              <a:cs typeface="+mn-cs"/>
            </a:rPr>
            <a:t>, the Department of Education, the Department of Labor and Employment, and the Colorado Office of Economic Development to create the talent pipeline development infrastructure for use in creating career pathways for students</a:t>
          </a:r>
        </a:p>
      </xdr:txBody>
    </xdr:sp>
    <xdr:clientData/>
  </xdr:oneCellAnchor>
  <xdr:twoCellAnchor>
    <xdr:from>
      <xdr:col>0</xdr:col>
      <xdr:colOff>628650</xdr:colOff>
      <xdr:row>40</xdr:row>
      <xdr:rowOff>9525</xdr:rowOff>
    </xdr:from>
    <xdr:to>
      <xdr:col>12</xdr:col>
      <xdr:colOff>609600</xdr:colOff>
      <xdr:row>47</xdr:row>
      <xdr:rowOff>104775</xdr:rowOff>
    </xdr:to>
    <xdr:sp macro="" textlink="">
      <xdr:nvSpPr>
        <xdr:cNvPr id="3" name="TextBox 2">
          <a:extLst>
            <a:ext uri="{FF2B5EF4-FFF2-40B4-BE49-F238E27FC236}">
              <a16:creationId xmlns:a16="http://schemas.microsoft.com/office/drawing/2014/main" xmlns="" id="{00000000-0008-0000-1400-000003000000}"/>
            </a:ext>
          </a:extLst>
        </xdr:cNvPr>
        <xdr:cNvSpPr txBox="1"/>
      </xdr:nvSpPr>
      <xdr:spPr>
        <a:xfrm>
          <a:off x="628650" y="8048625"/>
          <a:ext cx="8210550" cy="149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Section 16</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22-32-109.  Board of education – specific duties.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(1 )(mm)  Ensure that each student who enrolls in the 6</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in a district public school, on the day of enrollment, is registered with the on-line college planning and preparation resource </a:t>
          </a:r>
          <a:r>
            <a:rPr lang="en-US" sz="1100">
              <a:solidFill>
                <a:srgbClr val="FF0000"/>
              </a:solidFill>
              <a:effectLst/>
              <a:latin typeface="+mn-lt"/>
              <a:ea typeface="+mn-ea"/>
              <a:cs typeface="+mn-cs"/>
            </a:rPr>
            <a:t>“College in Colorado”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public school shall assist each student and his or her parent or guardian to develop and maintain the student’s individual career and education plans no later than the 9</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but may assist prior to the 9</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a:t>
          </a:r>
          <a:r>
            <a:rPr lang="en-US" sz="1100">
              <a:solidFill>
                <a:srgbClr val="FF0000"/>
              </a:solidFill>
              <a:effectLst/>
              <a:latin typeface="+mn-lt"/>
              <a:ea typeface="+mn-ea"/>
              <a:cs typeface="+mn-cs"/>
            </a:rPr>
            <a:t>(CIC not specifically charged)</a:t>
          </a:r>
        </a:p>
        <a:p>
          <a:endParaRPr lang="en-US" sz="1100"/>
        </a:p>
      </xdr:txBody>
    </xdr:sp>
    <xdr:clientData/>
  </xdr:twoCellAnchor>
  <xdr:twoCellAnchor>
    <xdr:from>
      <xdr:col>0</xdr:col>
      <xdr:colOff>647700</xdr:colOff>
      <xdr:row>68</xdr:row>
      <xdr:rowOff>200024</xdr:rowOff>
    </xdr:from>
    <xdr:to>
      <xdr:col>12</xdr:col>
      <xdr:colOff>542925</xdr:colOff>
      <xdr:row>74</xdr:row>
      <xdr:rowOff>114300</xdr:rowOff>
    </xdr:to>
    <xdr:sp macro="" textlink="">
      <xdr:nvSpPr>
        <xdr:cNvPr id="4" name="TextBox 3">
          <a:extLst>
            <a:ext uri="{FF2B5EF4-FFF2-40B4-BE49-F238E27FC236}">
              <a16:creationId xmlns:a16="http://schemas.microsoft.com/office/drawing/2014/main" xmlns="" id="{00000000-0008-0000-1400-000004000000}"/>
            </a:ext>
          </a:extLst>
        </xdr:cNvPr>
        <xdr:cNvSpPr txBox="1"/>
      </xdr:nvSpPr>
      <xdr:spPr>
        <a:xfrm>
          <a:off x="647700" y="14039849"/>
          <a:ext cx="8124825" cy="1114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Inform Students and Parents of Education Leading to Jobs</a:t>
          </a:r>
          <a:endParaRPr lang="en-US" sz="1200">
            <a:solidFill>
              <a:schemeClr val="dk1"/>
            </a:solidFill>
            <a:effectLst/>
            <a:latin typeface="+mn-lt"/>
            <a:ea typeface="+mn-ea"/>
            <a:cs typeface="+mn-cs"/>
          </a:endParaRPr>
        </a:p>
        <a:p>
          <a:r>
            <a:rPr lang="en-US" sz="1200" b="0">
              <a:solidFill>
                <a:schemeClr val="dk1"/>
              </a:solidFill>
              <a:effectLst/>
              <a:latin typeface="+mn-lt"/>
              <a:ea typeface="+mn-ea"/>
              <a:cs typeface="+mn-cs"/>
            </a:rPr>
            <a:t>Requires local education providers to provide information to students and families about skilled labor jobs, the</a:t>
          </a:r>
          <a:r>
            <a:rPr lang="en-US" sz="1200" b="0" baseline="0">
              <a:solidFill>
                <a:schemeClr val="dk1"/>
              </a:solidFill>
              <a:effectLst/>
              <a:latin typeface="+mn-lt"/>
              <a:ea typeface="+mn-ea"/>
              <a:cs typeface="+mn-cs"/>
            </a:rPr>
            <a:t> military and</a:t>
          </a:r>
          <a:r>
            <a:rPr lang="en-US" sz="1200" b="0">
              <a:solidFill>
                <a:schemeClr val="dk1"/>
              </a:solidFill>
              <a:effectLst/>
              <a:latin typeface="+mn-lt"/>
              <a:ea typeface="+mn-ea"/>
              <a:cs typeface="+mn-cs"/>
            </a:rPr>
            <a:t> the availability of concurrent enrollment and availability of jobs that could be obtained with credentials earned through this mechanism. If a student chooses to follow a certain pathway, requires individual career and academic plans (ICAP) to include information on student  progress in that pathway. </a:t>
          </a:r>
          <a:r>
            <a:rPr lang="en-US" sz="1200" b="0">
              <a:solidFill>
                <a:srgbClr val="FF0000"/>
              </a:solidFill>
              <a:effectLst/>
              <a:latin typeface="+mn-lt"/>
              <a:ea typeface="+mn-ea"/>
              <a:cs typeface="+mn-cs"/>
            </a:rPr>
            <a:t>(CIC not specifically charged but</a:t>
          </a:r>
          <a:r>
            <a:rPr lang="en-US" sz="1200" b="0" baseline="0">
              <a:solidFill>
                <a:srgbClr val="FF0000"/>
              </a:solidFill>
              <a:effectLst/>
              <a:latin typeface="+mn-lt"/>
              <a:ea typeface="+mn-ea"/>
              <a:cs typeface="+mn-cs"/>
            </a:rPr>
            <a:t> ICAP implications</a:t>
          </a:r>
          <a:r>
            <a:rPr lang="en-US" sz="1200" b="0">
              <a:solidFill>
                <a:srgbClr val="FF0000"/>
              </a:solidFill>
              <a:effectLst/>
              <a:latin typeface="+mn-lt"/>
              <a:ea typeface="+mn-ea"/>
              <a:cs typeface="+mn-cs"/>
            </a:rPr>
            <a:t>)</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twoCellAnchor>
    <xdr:from>
      <xdr:col>0</xdr:col>
      <xdr:colOff>647700</xdr:colOff>
      <xdr:row>23</xdr:row>
      <xdr:rowOff>85724</xdr:rowOff>
    </xdr:from>
    <xdr:to>
      <xdr:col>13</xdr:col>
      <xdr:colOff>428625</xdr:colOff>
      <xdr:row>38</xdr:row>
      <xdr:rowOff>161924</xdr:rowOff>
    </xdr:to>
    <xdr:sp macro="" textlink="">
      <xdr:nvSpPr>
        <xdr:cNvPr id="5" name="TextBox 4">
          <a:extLst>
            <a:ext uri="{FF2B5EF4-FFF2-40B4-BE49-F238E27FC236}">
              <a16:creationId xmlns:a16="http://schemas.microsoft.com/office/drawing/2014/main" xmlns="" id="{00000000-0008-0000-1400-000005000000}"/>
            </a:ext>
          </a:extLst>
        </xdr:cNvPr>
        <xdr:cNvSpPr txBox="1"/>
      </xdr:nvSpPr>
      <xdr:spPr>
        <a:xfrm>
          <a:off x="647700" y="4724399"/>
          <a:ext cx="8696325" cy="307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baseline="0">
              <a:solidFill>
                <a:schemeClr val="dk1"/>
              </a:solidFill>
              <a:latin typeface="+mn-lt"/>
              <a:ea typeface="+mn-ea"/>
              <a:cs typeface="+mn-cs"/>
            </a:rPr>
            <a:t>Pursuant to statute (C.R.S. §23-18-202), the Colorado Student Loan Program, d/b/a College Assist, is responsible for the administration of the COF program. In administering the program, College Assist works with all COF stake holders to ensure the program works properly. College Assist is responsible for:</a:t>
          </a:r>
        </a:p>
        <a:p>
          <a:r>
            <a:rPr lang="en-US" sz="1200" b="0" i="0" u="none" strike="noStrike" baseline="0">
              <a:solidFill>
                <a:schemeClr val="dk1"/>
              </a:solidFill>
              <a:latin typeface="+mn-lt"/>
              <a:ea typeface="+mn-ea"/>
              <a:cs typeface="+mn-cs"/>
            </a:rPr>
            <a:t>...</a:t>
          </a:r>
        </a:p>
        <a:p>
          <a:r>
            <a:rPr lang="en-US" sz="1200" b="0" i="0" u="none" strike="noStrike" baseline="0">
              <a:solidFill>
                <a:schemeClr val="dk1"/>
              </a:solidFill>
              <a:latin typeface="+mn-lt"/>
              <a:ea typeface="+mn-ea"/>
              <a:cs typeface="+mn-cs"/>
            </a:rPr>
            <a:t>• Providing information regarding the College Opportunity Fund on an internet website to assist students in planning financially and academically to attend an institution of higher education in Colorado...</a:t>
          </a:r>
        </a:p>
        <a:p>
          <a:endParaRPr lang="en-US" sz="1200" b="0" i="0" u="none" strike="noStrike" baseline="0">
            <a:solidFill>
              <a:schemeClr val="dk1"/>
            </a:solidFill>
            <a:latin typeface="+mn-lt"/>
            <a:ea typeface="+mn-ea"/>
            <a:cs typeface="+mn-cs"/>
          </a:endParaRPr>
        </a:p>
        <a:p>
          <a:r>
            <a:rPr lang="en-US" sz="1200" b="0" i="0" u="none" strike="noStrike" baseline="0">
              <a:solidFill>
                <a:schemeClr val="dk1"/>
              </a:solidFill>
              <a:latin typeface="+mn-lt"/>
              <a:ea typeface="+mn-ea"/>
              <a:cs typeface="+mn-cs"/>
            </a:rPr>
            <a:t>Initially, staff created a website to provide information regarding the College Opportunity Fund and to allow students to apply. This website was available July 1, 2004, when the SB04-189 was signed into law. The website contained information about how to apply for COF... </a:t>
          </a:r>
        </a:p>
        <a:p>
          <a:endParaRPr lang="en-US" sz="1200" b="0" i="0" u="none" strike="noStrike" baseline="0">
            <a:solidFill>
              <a:schemeClr val="dk1"/>
            </a:solidFill>
            <a:latin typeface="+mn-lt"/>
            <a:ea typeface="+mn-ea"/>
            <a:cs typeface="+mn-cs"/>
          </a:endParaRPr>
        </a:p>
        <a:p>
          <a:r>
            <a:rPr lang="en-US" sz="1200" b="0" i="0" u="none" strike="noStrike" baseline="0">
              <a:solidFill>
                <a:schemeClr val="dk1"/>
              </a:solidFill>
              <a:latin typeface="+mn-lt"/>
              <a:ea typeface="+mn-ea"/>
              <a:cs typeface="+mn-cs"/>
            </a:rPr>
            <a:t>In January 2005, the </a:t>
          </a:r>
          <a:r>
            <a:rPr lang="en-US" sz="1200" b="0" i="0" u="none" strike="noStrike" baseline="0">
              <a:solidFill>
                <a:srgbClr val="FF0000"/>
              </a:solidFill>
              <a:latin typeface="+mn-lt"/>
              <a:ea typeface="+mn-ea"/>
              <a:cs typeface="+mn-cs"/>
            </a:rPr>
            <a:t>www.collegeincolorado.org website </a:t>
          </a:r>
          <a:r>
            <a:rPr lang="en-US" sz="1200" b="0" i="0" u="none" strike="noStrike" baseline="0">
              <a:solidFill>
                <a:schemeClr val="dk1"/>
              </a:solidFill>
              <a:latin typeface="+mn-lt"/>
              <a:ea typeface="+mn-ea"/>
              <a:cs typeface="+mn-cs"/>
            </a:rPr>
            <a:t>was launched to assist students in financial and academic planning to attend an institution of higher education. Students accessing this website were encouraged to apply to COF through a link on the home page. College In College also provides material about the COF to students in middle and high schools.</a:t>
          </a:r>
          <a:endParaRPr lang="en-US" sz="1200"/>
        </a:p>
      </xdr:txBody>
    </xdr:sp>
    <xdr:clientData/>
  </xdr:twoCellAnchor>
  <xdr:twoCellAnchor>
    <xdr:from>
      <xdr:col>0</xdr:col>
      <xdr:colOff>638175</xdr:colOff>
      <xdr:row>4</xdr:row>
      <xdr:rowOff>114299</xdr:rowOff>
    </xdr:from>
    <xdr:to>
      <xdr:col>13</xdr:col>
      <xdr:colOff>104775</xdr:colOff>
      <xdr:row>10</xdr:row>
      <xdr:rowOff>95250</xdr:rowOff>
    </xdr:to>
    <xdr:sp macro="" textlink="">
      <xdr:nvSpPr>
        <xdr:cNvPr id="6" name="TextBox 5">
          <a:extLst>
            <a:ext uri="{FF2B5EF4-FFF2-40B4-BE49-F238E27FC236}">
              <a16:creationId xmlns:a16="http://schemas.microsoft.com/office/drawing/2014/main" xmlns="" id="{00000000-0008-0000-1400-000006000000}"/>
            </a:ext>
          </a:extLst>
        </xdr:cNvPr>
        <xdr:cNvSpPr txBox="1"/>
      </xdr:nvSpPr>
      <xdr:spPr>
        <a:xfrm>
          <a:off x="638175" y="952499"/>
          <a:ext cx="8382000" cy="118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Directs the </a:t>
          </a:r>
          <a:r>
            <a:rPr lang="en-US" sz="1100">
              <a:solidFill>
                <a:srgbClr val="FF0000"/>
              </a:solidFill>
              <a:effectLst/>
              <a:latin typeface="+mn-lt"/>
              <a:ea typeface="+mn-ea"/>
              <a:cs typeface="+mn-cs"/>
            </a:rPr>
            <a:t>Colorado Commission on Higher Education (CCHE) </a:t>
          </a:r>
          <a:r>
            <a:rPr lang="en-US" sz="1100">
              <a:solidFill>
                <a:schemeClr val="dk1"/>
              </a:solidFill>
              <a:effectLst/>
              <a:latin typeface="+mn-lt"/>
              <a:ea typeface="+mn-ea"/>
              <a:cs typeface="+mn-cs"/>
            </a:rPr>
            <a:t>to  provide families of students who have taken the 11</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ACT test with information regarding:</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Remediation “Cut-scores” in Reading, Writing and Math</a:t>
          </a:r>
        </a:p>
        <a:p>
          <a:pPr lvl="0"/>
          <a:r>
            <a:rPr lang="en-US" sz="1100">
              <a:solidFill>
                <a:schemeClr val="dk1"/>
              </a:solidFill>
              <a:effectLst/>
              <a:latin typeface="+mn-lt"/>
              <a:ea typeface="+mn-ea"/>
              <a:cs typeface="+mn-cs"/>
            </a:rPr>
            <a:t>Availability of remedial instruction</a:t>
          </a:r>
        </a:p>
        <a:p>
          <a:pPr lvl="0"/>
          <a:r>
            <a:rPr lang="en-US" sz="1100">
              <a:solidFill>
                <a:schemeClr val="dk1"/>
              </a:solidFill>
              <a:effectLst/>
              <a:latin typeface="+mn-lt"/>
              <a:ea typeface="+mn-ea"/>
              <a:cs typeface="+mn-cs"/>
            </a:rPr>
            <a:t>Opportunities to develop a plan to address the Higher Education Admission Requirements</a:t>
          </a:r>
        </a:p>
        <a:p>
          <a:endParaRPr lang="en-US" sz="1100"/>
        </a:p>
      </xdr:txBody>
    </xdr:sp>
    <xdr:clientData/>
  </xdr:twoCellAnchor>
  <xdr:twoCellAnchor>
    <xdr:from>
      <xdr:col>0</xdr:col>
      <xdr:colOff>628651</xdr:colOff>
      <xdr:row>10</xdr:row>
      <xdr:rowOff>180975</xdr:rowOff>
    </xdr:from>
    <xdr:to>
      <xdr:col>13</xdr:col>
      <xdr:colOff>171451</xdr:colOff>
      <xdr:row>22</xdr:row>
      <xdr:rowOff>0</xdr:rowOff>
    </xdr:to>
    <xdr:sp macro="" textlink="">
      <xdr:nvSpPr>
        <xdr:cNvPr id="7" name="TextBox 6">
          <a:extLst>
            <a:ext uri="{FF2B5EF4-FFF2-40B4-BE49-F238E27FC236}">
              <a16:creationId xmlns:a16="http://schemas.microsoft.com/office/drawing/2014/main" xmlns="" id="{00000000-0008-0000-1400-000007000000}"/>
            </a:ext>
          </a:extLst>
        </xdr:cNvPr>
        <xdr:cNvSpPr txBox="1"/>
      </xdr:nvSpPr>
      <xdr:spPr>
        <a:xfrm>
          <a:off x="628651" y="2219325"/>
          <a:ext cx="8458200" cy="221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Directs the </a:t>
          </a:r>
          <a:r>
            <a:rPr lang="en-US" sz="1100">
              <a:solidFill>
                <a:srgbClr val="FF0000"/>
              </a:solidFill>
              <a:effectLst/>
              <a:latin typeface="+mn-lt"/>
              <a:ea typeface="+mn-ea"/>
              <a:cs typeface="+mn-cs"/>
            </a:rPr>
            <a:t>Colorado Commission on Higher Education </a:t>
          </a:r>
          <a:r>
            <a:rPr lang="en-US" sz="1100">
              <a:solidFill>
                <a:schemeClr val="dk1"/>
              </a:solidFill>
              <a:effectLst/>
              <a:latin typeface="+mn-lt"/>
              <a:ea typeface="+mn-ea"/>
              <a:cs typeface="+mn-cs"/>
            </a:rPr>
            <a:t>to provide families of 8</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students enrolled in public schools with the following information:</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Description of the Higher Education Admission Requirements (HEAR)</a:t>
          </a:r>
        </a:p>
        <a:p>
          <a:pPr lvl="1"/>
          <a:r>
            <a:rPr lang="en-US" sz="1100">
              <a:solidFill>
                <a:schemeClr val="dk1"/>
              </a:solidFill>
              <a:effectLst/>
              <a:latin typeface="+mn-lt"/>
              <a:ea typeface="+mn-ea"/>
              <a:cs typeface="+mn-cs"/>
            </a:rPr>
            <a:t>Availability of college prep/college level courses</a:t>
          </a:r>
        </a:p>
        <a:p>
          <a:pPr lvl="1"/>
          <a:r>
            <a:rPr lang="en-US" sz="1100">
              <a:solidFill>
                <a:schemeClr val="dk1"/>
              </a:solidFill>
              <a:effectLst/>
              <a:latin typeface="+mn-lt"/>
              <a:ea typeface="+mn-ea"/>
              <a:cs typeface="+mn-cs"/>
            </a:rPr>
            <a:t>Explanation of the State’s financial aid resources</a:t>
          </a:r>
        </a:p>
        <a:p>
          <a:pPr lvl="1"/>
          <a:r>
            <a:rPr lang="en-US" sz="1100">
              <a:solidFill>
                <a:schemeClr val="dk1"/>
              </a:solidFill>
              <a:effectLst/>
              <a:latin typeface="+mn-lt"/>
              <a:ea typeface="+mn-ea"/>
              <a:cs typeface="+mn-cs"/>
            </a:rPr>
            <a:t>Explanation of the College Opportunity Fund Stipend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statute also requires school districts to notify families of 8</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grade students as to which High School courses meet the HEAR.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Statute also provides for the creation of the statewide Pre-Collegiate Database.</a:t>
          </a: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114299</xdr:colOff>
      <xdr:row>2</xdr:row>
      <xdr:rowOff>152400</xdr:rowOff>
    </xdr:from>
    <xdr:to>
      <xdr:col>11</xdr:col>
      <xdr:colOff>390524</xdr:colOff>
      <xdr:row>21</xdr:row>
      <xdr:rowOff>61912</xdr:rowOff>
    </xdr:to>
    <xdr:graphicFrame macro="">
      <xdr:nvGraphicFramePr>
        <xdr:cNvPr id="2" name="Chart 1">
          <a:extLst>
            <a:ext uri="{FF2B5EF4-FFF2-40B4-BE49-F238E27FC236}">
              <a16:creationId xmlns:a16="http://schemas.microsoft.com/office/drawing/2014/main" xmlns=""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0</xdr:row>
          <xdr:rowOff>104775</xdr:rowOff>
        </xdr:from>
        <xdr:to>
          <xdr:col>17</xdr:col>
          <xdr:colOff>323850</xdr:colOff>
          <xdr:row>39</xdr:row>
          <xdr:rowOff>104775</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19051</xdr:colOff>
      <xdr:row>0</xdr:row>
      <xdr:rowOff>19050</xdr:rowOff>
    </xdr:from>
    <xdr:to>
      <xdr:col>11</xdr:col>
      <xdr:colOff>190501</xdr:colOff>
      <xdr:row>2</xdr:row>
      <xdr:rowOff>161925</xdr:rowOff>
    </xdr:to>
    <xdr:sp macro="" textlink="">
      <xdr:nvSpPr>
        <xdr:cNvPr id="2" name="TextBox 1">
          <a:extLst>
            <a:ext uri="{FF2B5EF4-FFF2-40B4-BE49-F238E27FC236}">
              <a16:creationId xmlns="" xmlns:a16="http://schemas.microsoft.com/office/drawing/2014/main" id="{7FC9E17B-2D93-494A-8335-08DF41689881}"/>
            </a:ext>
          </a:extLst>
        </xdr:cNvPr>
        <xdr:cNvSpPr txBox="1"/>
      </xdr:nvSpPr>
      <xdr:spPr>
        <a:xfrm>
          <a:off x="2476501" y="19050"/>
          <a:ext cx="897255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Account elements</a:t>
          </a:r>
          <a:r>
            <a:rPr lang="en-US" sz="1100"/>
            <a:t>: First, Last,</a:t>
          </a:r>
          <a:r>
            <a:rPr lang="en-US" sz="1100" baseline="0"/>
            <a:t> Middle Name, Gender, Zip Code, DOB, IDs </a:t>
          </a:r>
        </a:p>
        <a:p>
          <a:r>
            <a:rPr lang="en-US" sz="1100" baseline="0">
              <a:solidFill>
                <a:srgbClr val="FF0000"/>
              </a:solidFill>
            </a:rPr>
            <a:t>Establish Archetype Elements</a:t>
          </a:r>
          <a:r>
            <a:rPr lang="en-US" sz="1100" baseline="0"/>
            <a:t>: DOB &gt; 18, Highest level of education =&gt; Diploma/HSE Cert, Employment Status = Unemployed</a:t>
          </a:r>
        </a:p>
        <a:p>
          <a:r>
            <a:rPr lang="en-US" sz="1100" baseline="0">
              <a:solidFill>
                <a:srgbClr val="FF0000"/>
              </a:solidFill>
            </a:rPr>
            <a:t>Example based upon Areas of Concern Elements as</a:t>
          </a:r>
          <a:r>
            <a:rPr lang="en-US" sz="1100" baseline="0"/>
            <a:t>: Finding work right now, not having enough money to live on, exploring future careers</a:t>
          </a:r>
          <a:endParaRPr lang="en-US" sz="1100"/>
        </a:p>
      </xdr:txBody>
    </xdr:sp>
    <xdr:clientData/>
  </xdr:twoCellAnchor>
  <xdr:twoCellAnchor>
    <xdr:from>
      <xdr:col>4</xdr:col>
      <xdr:colOff>85725</xdr:colOff>
      <xdr:row>5</xdr:row>
      <xdr:rowOff>104775</xdr:rowOff>
    </xdr:from>
    <xdr:to>
      <xdr:col>4</xdr:col>
      <xdr:colOff>666750</xdr:colOff>
      <xdr:row>5</xdr:row>
      <xdr:rowOff>104775</xdr:rowOff>
    </xdr:to>
    <xdr:cxnSp macro="">
      <xdr:nvCxnSpPr>
        <xdr:cNvPr id="3" name="Straight Arrow Connector 2">
          <a:extLst>
            <a:ext uri="{FF2B5EF4-FFF2-40B4-BE49-F238E27FC236}">
              <a16:creationId xmlns="" xmlns:a16="http://schemas.microsoft.com/office/drawing/2014/main" id="{9F6303A8-4397-4ADB-B748-77DF2300BEEC}"/>
            </a:ext>
          </a:extLst>
        </xdr:cNvPr>
        <xdr:cNvCxnSpPr/>
      </xdr:nvCxnSpPr>
      <xdr:spPr>
        <a:xfrm>
          <a:off x="3419475" y="1438275"/>
          <a:ext cx="581025"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400050</xdr:colOff>
      <xdr:row>9</xdr:row>
      <xdr:rowOff>361950</xdr:rowOff>
    </xdr:from>
    <xdr:to>
      <xdr:col>4</xdr:col>
      <xdr:colOff>533400</xdr:colOff>
      <xdr:row>9</xdr:row>
      <xdr:rowOff>504825</xdr:rowOff>
    </xdr:to>
    <xdr:sp macro="" textlink="">
      <xdr:nvSpPr>
        <xdr:cNvPr id="4" name="Flowchart: Connector 3">
          <a:extLst>
            <a:ext uri="{FF2B5EF4-FFF2-40B4-BE49-F238E27FC236}">
              <a16:creationId xmlns="" xmlns:a16="http://schemas.microsoft.com/office/drawing/2014/main" id="{50DA16FB-FA6B-4888-AC66-2592BC7BFAA4}"/>
            </a:ext>
          </a:extLst>
        </xdr:cNvPr>
        <xdr:cNvSpPr/>
      </xdr:nvSpPr>
      <xdr:spPr>
        <a:xfrm>
          <a:off x="3733800" y="3609975"/>
          <a:ext cx="133350" cy="142875"/>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484716</xdr:colOff>
      <xdr:row>12</xdr:row>
      <xdr:rowOff>268816</xdr:rowOff>
    </xdr:from>
    <xdr:to>
      <xdr:col>5</xdr:col>
      <xdr:colOff>618066</xdr:colOff>
      <xdr:row>12</xdr:row>
      <xdr:rowOff>411691</xdr:rowOff>
    </xdr:to>
    <xdr:sp macro="" textlink="">
      <xdr:nvSpPr>
        <xdr:cNvPr id="5" name="Flowchart: Connector 4">
          <a:extLst>
            <a:ext uri="{FF2B5EF4-FFF2-40B4-BE49-F238E27FC236}">
              <a16:creationId xmlns="" xmlns:a16="http://schemas.microsoft.com/office/drawing/2014/main" id="{297E1B4B-A8C6-467E-BC1D-49258F01E2EA}"/>
            </a:ext>
          </a:extLst>
        </xdr:cNvPr>
        <xdr:cNvSpPr/>
      </xdr:nvSpPr>
      <xdr:spPr>
        <a:xfrm>
          <a:off x="4612216" y="5232399"/>
          <a:ext cx="133350" cy="142875"/>
        </a:xfrm>
        <a:prstGeom prst="flowChartConnecto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575734</xdr:colOff>
      <xdr:row>11</xdr:row>
      <xdr:rowOff>398991</xdr:rowOff>
    </xdr:from>
    <xdr:to>
      <xdr:col>6</xdr:col>
      <xdr:colOff>709084</xdr:colOff>
      <xdr:row>11</xdr:row>
      <xdr:rowOff>541866</xdr:rowOff>
    </xdr:to>
    <xdr:sp macro="" textlink="">
      <xdr:nvSpPr>
        <xdr:cNvPr id="6" name="Flowchart: Connector 5">
          <a:extLst>
            <a:ext uri="{FF2B5EF4-FFF2-40B4-BE49-F238E27FC236}">
              <a16:creationId xmlns="" xmlns:a16="http://schemas.microsoft.com/office/drawing/2014/main" id="{E1040BD4-88C8-4243-99BD-B0A3B0864574}"/>
            </a:ext>
          </a:extLst>
        </xdr:cNvPr>
        <xdr:cNvSpPr/>
      </xdr:nvSpPr>
      <xdr:spPr>
        <a:xfrm>
          <a:off x="5404909" y="4790016"/>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523875</xdr:colOff>
      <xdr:row>6</xdr:row>
      <xdr:rowOff>400050</xdr:rowOff>
    </xdr:from>
    <xdr:to>
      <xdr:col>7</xdr:col>
      <xdr:colOff>657225</xdr:colOff>
      <xdr:row>6</xdr:row>
      <xdr:rowOff>542925</xdr:rowOff>
    </xdr:to>
    <xdr:sp macro="" textlink="">
      <xdr:nvSpPr>
        <xdr:cNvPr id="7" name="Flowchart: Connector 6">
          <a:extLst>
            <a:ext uri="{FF2B5EF4-FFF2-40B4-BE49-F238E27FC236}">
              <a16:creationId xmlns="" xmlns:a16="http://schemas.microsoft.com/office/drawing/2014/main" id="{704D94BB-38D5-45DF-A210-BB3CA604F77A}"/>
            </a:ext>
          </a:extLst>
        </xdr:cNvPr>
        <xdr:cNvSpPr/>
      </xdr:nvSpPr>
      <xdr:spPr>
        <a:xfrm>
          <a:off x="6067425" y="19335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548217</xdr:colOff>
      <xdr:row>7</xdr:row>
      <xdr:rowOff>130175</xdr:rowOff>
    </xdr:from>
    <xdr:to>
      <xdr:col>8</xdr:col>
      <xdr:colOff>681567</xdr:colOff>
      <xdr:row>7</xdr:row>
      <xdr:rowOff>273050</xdr:rowOff>
    </xdr:to>
    <xdr:sp macro="" textlink="">
      <xdr:nvSpPr>
        <xdr:cNvPr id="10" name="Flowchart: Connector 9">
          <a:extLst>
            <a:ext uri="{FF2B5EF4-FFF2-40B4-BE49-F238E27FC236}">
              <a16:creationId xmlns="" xmlns:a16="http://schemas.microsoft.com/office/drawing/2014/main" id="{71460F0D-C3A2-4B39-A087-5D53E4EE4659}"/>
            </a:ext>
          </a:extLst>
        </xdr:cNvPr>
        <xdr:cNvSpPr/>
      </xdr:nvSpPr>
      <xdr:spPr>
        <a:xfrm>
          <a:off x="8234892" y="2235200"/>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542925</xdr:colOff>
      <xdr:row>6</xdr:row>
      <xdr:rowOff>361950</xdr:rowOff>
    </xdr:from>
    <xdr:to>
      <xdr:col>9</xdr:col>
      <xdr:colOff>676275</xdr:colOff>
      <xdr:row>6</xdr:row>
      <xdr:rowOff>504825</xdr:rowOff>
    </xdr:to>
    <xdr:sp macro="" textlink="">
      <xdr:nvSpPr>
        <xdr:cNvPr id="12" name="Flowchart: Connector 11">
          <a:extLst>
            <a:ext uri="{FF2B5EF4-FFF2-40B4-BE49-F238E27FC236}">
              <a16:creationId xmlns="" xmlns:a16="http://schemas.microsoft.com/office/drawing/2014/main" id="{C8EB7FB8-90D1-4E0F-94A6-87ECD82A9EEF}"/>
            </a:ext>
          </a:extLst>
        </xdr:cNvPr>
        <xdr:cNvSpPr/>
      </xdr:nvSpPr>
      <xdr:spPr>
        <a:xfrm>
          <a:off x="9658350" y="18954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552450</xdr:colOff>
      <xdr:row>8</xdr:row>
      <xdr:rowOff>38100</xdr:rowOff>
    </xdr:from>
    <xdr:to>
      <xdr:col>10</xdr:col>
      <xdr:colOff>685800</xdr:colOff>
      <xdr:row>8</xdr:row>
      <xdr:rowOff>180975</xdr:rowOff>
    </xdr:to>
    <xdr:sp macro="" textlink="">
      <xdr:nvSpPr>
        <xdr:cNvPr id="13" name="Flowchart: Connector 12">
          <a:extLst>
            <a:ext uri="{FF2B5EF4-FFF2-40B4-BE49-F238E27FC236}">
              <a16:creationId xmlns="" xmlns:a16="http://schemas.microsoft.com/office/drawing/2014/main" id="{BC285FC7-E150-4D21-964A-D99EEB395221}"/>
            </a:ext>
          </a:extLst>
        </xdr:cNvPr>
        <xdr:cNvSpPr/>
      </xdr:nvSpPr>
      <xdr:spPr>
        <a:xfrm>
          <a:off x="11096625" y="271462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581025</xdr:colOff>
      <xdr:row>6</xdr:row>
      <xdr:rowOff>400050</xdr:rowOff>
    </xdr:from>
    <xdr:to>
      <xdr:col>11</xdr:col>
      <xdr:colOff>714375</xdr:colOff>
      <xdr:row>6</xdr:row>
      <xdr:rowOff>542925</xdr:rowOff>
    </xdr:to>
    <xdr:sp macro="" textlink="">
      <xdr:nvSpPr>
        <xdr:cNvPr id="14" name="Flowchart: Connector 13">
          <a:extLst>
            <a:ext uri="{FF2B5EF4-FFF2-40B4-BE49-F238E27FC236}">
              <a16:creationId xmlns="" xmlns:a16="http://schemas.microsoft.com/office/drawing/2014/main" id="{0071F4C5-6490-471D-89F2-984D2CE520AA}"/>
            </a:ext>
          </a:extLst>
        </xdr:cNvPr>
        <xdr:cNvSpPr/>
      </xdr:nvSpPr>
      <xdr:spPr>
        <a:xfrm>
          <a:off x="11839575" y="19335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552450</xdr:colOff>
      <xdr:row>10</xdr:row>
      <xdr:rowOff>57150</xdr:rowOff>
    </xdr:from>
    <xdr:to>
      <xdr:col>13</xdr:col>
      <xdr:colOff>685800</xdr:colOff>
      <xdr:row>10</xdr:row>
      <xdr:rowOff>200025</xdr:rowOff>
    </xdr:to>
    <xdr:sp macro="" textlink="">
      <xdr:nvSpPr>
        <xdr:cNvPr id="15" name="Flowchart: Connector 14">
          <a:extLst>
            <a:ext uri="{FF2B5EF4-FFF2-40B4-BE49-F238E27FC236}">
              <a16:creationId xmlns="" xmlns:a16="http://schemas.microsoft.com/office/drawing/2014/main" id="{5BFFD9F3-8EC5-4AD9-A22C-0B58D830439D}"/>
            </a:ext>
          </a:extLst>
        </xdr:cNvPr>
        <xdr:cNvSpPr/>
      </xdr:nvSpPr>
      <xdr:spPr>
        <a:xfrm>
          <a:off x="13287375" y="38766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542925</xdr:colOff>
      <xdr:row>13</xdr:row>
      <xdr:rowOff>28575</xdr:rowOff>
    </xdr:from>
    <xdr:to>
      <xdr:col>12</xdr:col>
      <xdr:colOff>676275</xdr:colOff>
      <xdr:row>13</xdr:row>
      <xdr:rowOff>171450</xdr:rowOff>
    </xdr:to>
    <xdr:sp macro="" textlink="">
      <xdr:nvSpPr>
        <xdr:cNvPr id="16" name="Flowchart: Connector 15">
          <a:extLst>
            <a:ext uri="{FF2B5EF4-FFF2-40B4-BE49-F238E27FC236}">
              <a16:creationId xmlns="" xmlns:a16="http://schemas.microsoft.com/office/drawing/2014/main" id="{3363FB9D-99F2-4E15-9016-6DFC0DF9F777}"/>
            </a:ext>
          </a:extLst>
        </xdr:cNvPr>
        <xdr:cNvSpPr/>
      </xdr:nvSpPr>
      <xdr:spPr>
        <a:xfrm>
          <a:off x="12563475" y="5743575"/>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6</xdr:row>
      <xdr:rowOff>276225</xdr:rowOff>
    </xdr:from>
    <xdr:to>
      <xdr:col>14</xdr:col>
      <xdr:colOff>628650</xdr:colOff>
      <xdr:row>6</xdr:row>
      <xdr:rowOff>419100</xdr:rowOff>
    </xdr:to>
    <xdr:sp macro="" textlink="">
      <xdr:nvSpPr>
        <xdr:cNvPr id="17" name="Flowchart: Connector 16">
          <a:extLst>
            <a:ext uri="{FF2B5EF4-FFF2-40B4-BE49-F238E27FC236}">
              <a16:creationId xmlns="" xmlns:a16="http://schemas.microsoft.com/office/drawing/2014/main" id="{A42258B9-B105-4B08-A56B-D2C4881EED6B}"/>
            </a:ext>
          </a:extLst>
        </xdr:cNvPr>
        <xdr:cNvSpPr/>
      </xdr:nvSpPr>
      <xdr:spPr>
        <a:xfrm>
          <a:off x="13944600" y="1809750"/>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513871</xdr:colOff>
      <xdr:row>9</xdr:row>
      <xdr:rowOff>483901</xdr:rowOff>
    </xdr:from>
    <xdr:to>
      <xdr:col>5</xdr:col>
      <xdr:colOff>551391</xdr:colOff>
      <xdr:row>12</xdr:row>
      <xdr:rowOff>268816</xdr:rowOff>
    </xdr:to>
    <xdr:cxnSp macro="">
      <xdr:nvCxnSpPr>
        <xdr:cNvPr id="18" name="Straight Arrow Connector 17">
          <a:extLst>
            <a:ext uri="{FF2B5EF4-FFF2-40B4-BE49-F238E27FC236}">
              <a16:creationId xmlns="" xmlns:a16="http://schemas.microsoft.com/office/drawing/2014/main" id="{8DC021EF-B20A-4EDE-B6C5-8AAEF715D8C4}"/>
            </a:ext>
          </a:extLst>
        </xdr:cNvPr>
        <xdr:cNvCxnSpPr>
          <a:stCxn id="4" idx="5"/>
          <a:endCxn id="5" idx="0"/>
        </xdr:cNvCxnSpPr>
      </xdr:nvCxnSpPr>
      <xdr:spPr>
        <a:xfrm>
          <a:off x="3858204" y="3732984"/>
          <a:ext cx="820687" cy="14994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618066</xdr:colOff>
      <xdr:row>11</xdr:row>
      <xdr:rowOff>541866</xdr:rowOff>
    </xdr:from>
    <xdr:to>
      <xdr:col>6</xdr:col>
      <xdr:colOff>642409</xdr:colOff>
      <xdr:row>12</xdr:row>
      <xdr:rowOff>340254</xdr:rowOff>
    </xdr:to>
    <xdr:cxnSp macro="">
      <xdr:nvCxnSpPr>
        <xdr:cNvPr id="19" name="Straight Arrow Connector 18">
          <a:extLst>
            <a:ext uri="{FF2B5EF4-FFF2-40B4-BE49-F238E27FC236}">
              <a16:creationId xmlns="" xmlns:a16="http://schemas.microsoft.com/office/drawing/2014/main" id="{F15E9A1E-24AB-42C5-991F-057FB551DFC5}"/>
            </a:ext>
          </a:extLst>
        </xdr:cNvPr>
        <xdr:cNvCxnSpPr>
          <a:stCxn id="5" idx="6"/>
          <a:endCxn id="6" idx="4"/>
        </xdr:cNvCxnSpPr>
      </xdr:nvCxnSpPr>
      <xdr:spPr>
        <a:xfrm flipV="1">
          <a:off x="4745566" y="4933949"/>
          <a:ext cx="744010" cy="3698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689555</xdr:colOff>
      <xdr:row>7</xdr:row>
      <xdr:rowOff>8466</xdr:rowOff>
    </xdr:from>
    <xdr:to>
      <xdr:col>7</xdr:col>
      <xdr:colOff>566209</xdr:colOff>
      <xdr:row>11</xdr:row>
      <xdr:rowOff>419915</xdr:rowOff>
    </xdr:to>
    <xdr:cxnSp macro="">
      <xdr:nvCxnSpPr>
        <xdr:cNvPr id="20" name="Straight Arrow Connector 19">
          <a:extLst>
            <a:ext uri="{FF2B5EF4-FFF2-40B4-BE49-F238E27FC236}">
              <a16:creationId xmlns="" xmlns:a16="http://schemas.microsoft.com/office/drawing/2014/main" id="{3557F677-A9CF-45E6-857F-70C49D82F820}"/>
            </a:ext>
          </a:extLst>
        </xdr:cNvPr>
        <xdr:cNvCxnSpPr>
          <a:stCxn id="6" idx="7"/>
        </xdr:cNvCxnSpPr>
      </xdr:nvCxnSpPr>
      <xdr:spPr>
        <a:xfrm flipV="1">
          <a:off x="5518730" y="2113491"/>
          <a:ext cx="591029" cy="26974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663575</xdr:colOff>
      <xdr:row>6</xdr:row>
      <xdr:rowOff>451908</xdr:rowOff>
    </xdr:from>
    <xdr:to>
      <xdr:col>8</xdr:col>
      <xdr:colOff>567746</xdr:colOff>
      <xdr:row>7</xdr:row>
      <xdr:rowOff>151099</xdr:rowOff>
    </xdr:to>
    <xdr:cxnSp macro="">
      <xdr:nvCxnSpPr>
        <xdr:cNvPr id="21" name="Straight Arrow Connector 20">
          <a:extLst>
            <a:ext uri="{FF2B5EF4-FFF2-40B4-BE49-F238E27FC236}">
              <a16:creationId xmlns="" xmlns:a16="http://schemas.microsoft.com/office/drawing/2014/main" id="{EEE1DA6B-CA70-4AB4-88B5-10F687272E48}"/>
            </a:ext>
          </a:extLst>
        </xdr:cNvPr>
        <xdr:cNvCxnSpPr>
          <a:endCxn id="10" idx="1"/>
        </xdr:cNvCxnSpPr>
      </xdr:nvCxnSpPr>
      <xdr:spPr>
        <a:xfrm>
          <a:off x="6230408" y="1986491"/>
          <a:ext cx="623838" cy="2706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709082</xdr:colOff>
      <xdr:row>6</xdr:row>
      <xdr:rowOff>433388</xdr:rowOff>
    </xdr:from>
    <xdr:to>
      <xdr:col>9</xdr:col>
      <xdr:colOff>542925</xdr:colOff>
      <xdr:row>7</xdr:row>
      <xdr:rowOff>188913</xdr:rowOff>
    </xdr:to>
    <xdr:cxnSp macro="">
      <xdr:nvCxnSpPr>
        <xdr:cNvPr id="25" name="Straight Arrow Connector 24">
          <a:extLst>
            <a:ext uri="{FF2B5EF4-FFF2-40B4-BE49-F238E27FC236}">
              <a16:creationId xmlns="" xmlns:a16="http://schemas.microsoft.com/office/drawing/2014/main" id="{443224BD-32E3-4AC1-8CCB-EE9D42F60598}"/>
            </a:ext>
          </a:extLst>
        </xdr:cNvPr>
        <xdr:cNvCxnSpPr>
          <a:endCxn id="12" idx="2"/>
        </xdr:cNvCxnSpPr>
      </xdr:nvCxnSpPr>
      <xdr:spPr>
        <a:xfrm flipV="1">
          <a:off x="7715249" y="1967971"/>
          <a:ext cx="553509" cy="327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656746</xdr:colOff>
      <xdr:row>6</xdr:row>
      <xdr:rowOff>483901</xdr:rowOff>
    </xdr:from>
    <xdr:to>
      <xdr:col>10</xdr:col>
      <xdr:colOff>571979</xdr:colOff>
      <xdr:row>8</xdr:row>
      <xdr:rowOff>59024</xdr:rowOff>
    </xdr:to>
    <xdr:cxnSp macro="">
      <xdr:nvCxnSpPr>
        <xdr:cNvPr id="26" name="Straight Arrow Connector 25">
          <a:extLst>
            <a:ext uri="{FF2B5EF4-FFF2-40B4-BE49-F238E27FC236}">
              <a16:creationId xmlns="" xmlns:a16="http://schemas.microsoft.com/office/drawing/2014/main" id="{E7FC3DBD-EF07-41E4-818D-EE075D8C7F5F}"/>
            </a:ext>
          </a:extLst>
        </xdr:cNvPr>
        <xdr:cNvCxnSpPr>
          <a:stCxn id="12" idx="5"/>
          <a:endCxn id="13" idx="1"/>
        </xdr:cNvCxnSpPr>
      </xdr:nvCxnSpPr>
      <xdr:spPr>
        <a:xfrm>
          <a:off x="9821913" y="2018484"/>
          <a:ext cx="634899" cy="7181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xdr:row>
      <xdr:rowOff>0</xdr:rowOff>
    </xdr:from>
    <xdr:to>
      <xdr:col>11</xdr:col>
      <xdr:colOff>552450</xdr:colOff>
      <xdr:row>8</xdr:row>
      <xdr:rowOff>28575</xdr:rowOff>
    </xdr:to>
    <xdr:cxnSp macro="">
      <xdr:nvCxnSpPr>
        <xdr:cNvPr id="27" name="Straight Arrow Connector 26">
          <a:extLst>
            <a:ext uri="{FF2B5EF4-FFF2-40B4-BE49-F238E27FC236}">
              <a16:creationId xmlns="" xmlns:a16="http://schemas.microsoft.com/office/drawing/2014/main" id="{CC353502-0322-4FC5-A7D2-883A4BF6D240}"/>
            </a:ext>
          </a:extLst>
        </xdr:cNvPr>
        <xdr:cNvCxnSpPr/>
      </xdr:nvCxnSpPr>
      <xdr:spPr>
        <a:xfrm flipV="1">
          <a:off x="11258550" y="2105025"/>
          <a:ext cx="552450"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723900</xdr:colOff>
      <xdr:row>7</xdr:row>
      <xdr:rowOff>0</xdr:rowOff>
    </xdr:from>
    <xdr:to>
      <xdr:col>12</xdr:col>
      <xdr:colOff>609600</xdr:colOff>
      <xdr:row>13</xdr:row>
      <xdr:rowOff>28575</xdr:rowOff>
    </xdr:to>
    <xdr:cxnSp macro="">
      <xdr:nvCxnSpPr>
        <xdr:cNvPr id="28" name="Straight Arrow Connector 27">
          <a:extLst>
            <a:ext uri="{FF2B5EF4-FFF2-40B4-BE49-F238E27FC236}">
              <a16:creationId xmlns="" xmlns:a16="http://schemas.microsoft.com/office/drawing/2014/main" id="{EBE922FE-0032-4C97-AF81-F53894EC2649}"/>
            </a:ext>
          </a:extLst>
        </xdr:cNvPr>
        <xdr:cNvCxnSpPr>
          <a:endCxn id="16" idx="0"/>
        </xdr:cNvCxnSpPr>
      </xdr:nvCxnSpPr>
      <xdr:spPr>
        <a:xfrm>
          <a:off x="11328400" y="2106083"/>
          <a:ext cx="647700" cy="36374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xdr:colOff>
      <xdr:row>10</xdr:row>
      <xdr:rowOff>247650</xdr:rowOff>
    </xdr:from>
    <xdr:to>
      <xdr:col>13</xdr:col>
      <xdr:colOff>581025</xdr:colOff>
      <xdr:row>13</xdr:row>
      <xdr:rowOff>28576</xdr:rowOff>
    </xdr:to>
    <xdr:cxnSp macro="">
      <xdr:nvCxnSpPr>
        <xdr:cNvPr id="29" name="Straight Arrow Connector 28">
          <a:extLst>
            <a:ext uri="{FF2B5EF4-FFF2-40B4-BE49-F238E27FC236}">
              <a16:creationId xmlns="" xmlns:a16="http://schemas.microsoft.com/office/drawing/2014/main" id="{7CFE58DE-C9FD-45F5-9EB8-654B7FABD5EF}"/>
            </a:ext>
          </a:extLst>
        </xdr:cNvPr>
        <xdr:cNvCxnSpPr/>
      </xdr:nvCxnSpPr>
      <xdr:spPr>
        <a:xfrm flipV="1">
          <a:off x="12753975" y="4067175"/>
          <a:ext cx="561975" cy="16764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685800</xdr:colOff>
      <xdr:row>6</xdr:row>
      <xdr:rowOff>495300</xdr:rowOff>
    </xdr:from>
    <xdr:to>
      <xdr:col>14</xdr:col>
      <xdr:colOff>523875</xdr:colOff>
      <xdr:row>10</xdr:row>
      <xdr:rowOff>9525</xdr:rowOff>
    </xdr:to>
    <xdr:cxnSp macro="">
      <xdr:nvCxnSpPr>
        <xdr:cNvPr id="30" name="Straight Arrow Connector 29">
          <a:extLst>
            <a:ext uri="{FF2B5EF4-FFF2-40B4-BE49-F238E27FC236}">
              <a16:creationId xmlns="" xmlns:a16="http://schemas.microsoft.com/office/drawing/2014/main" id="{11759330-1889-4E99-8253-51D49C60D331}"/>
            </a:ext>
          </a:extLst>
        </xdr:cNvPr>
        <xdr:cNvCxnSpPr/>
      </xdr:nvCxnSpPr>
      <xdr:spPr>
        <a:xfrm flipV="1">
          <a:off x="13420725" y="2028825"/>
          <a:ext cx="552450" cy="1800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57150</xdr:rowOff>
    </xdr:from>
    <xdr:to>
      <xdr:col>15</xdr:col>
      <xdr:colOff>638175</xdr:colOff>
      <xdr:row>14</xdr:row>
      <xdr:rowOff>200025</xdr:rowOff>
    </xdr:to>
    <xdr:sp macro="" textlink="">
      <xdr:nvSpPr>
        <xdr:cNvPr id="35" name="Flowchart: Connector 34">
          <a:extLst>
            <a:ext uri="{FF2B5EF4-FFF2-40B4-BE49-F238E27FC236}">
              <a16:creationId xmlns="" xmlns:a16="http://schemas.microsoft.com/office/drawing/2014/main" id="{3363FB9D-99F2-4E15-9016-6DFC0DF9F777}"/>
            </a:ext>
          </a:extLst>
        </xdr:cNvPr>
        <xdr:cNvSpPr/>
      </xdr:nvSpPr>
      <xdr:spPr>
        <a:xfrm>
          <a:off x="14668500" y="6343650"/>
          <a:ext cx="133350" cy="142875"/>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666750</xdr:colOff>
      <xdr:row>6</xdr:row>
      <xdr:rowOff>447675</xdr:rowOff>
    </xdr:from>
    <xdr:to>
      <xdr:col>15</xdr:col>
      <xdr:colOff>514350</xdr:colOff>
      <xdr:row>14</xdr:row>
      <xdr:rowOff>9525</xdr:rowOff>
    </xdr:to>
    <xdr:cxnSp macro="">
      <xdr:nvCxnSpPr>
        <xdr:cNvPr id="36" name="Straight Arrow Connector 35"/>
        <xdr:cNvCxnSpPr/>
      </xdr:nvCxnSpPr>
      <xdr:spPr>
        <a:xfrm>
          <a:off x="14116050" y="1981200"/>
          <a:ext cx="561975" cy="4314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9525</xdr:colOff>
      <xdr:row>3</xdr:row>
      <xdr:rowOff>142875</xdr:rowOff>
    </xdr:from>
    <xdr:to>
      <xdr:col>24</xdr:col>
      <xdr:colOff>571500</xdr:colOff>
      <xdr:row>13</xdr:row>
      <xdr:rowOff>38100</xdr:rowOff>
    </xdr:to>
    <xdr:sp macro="" textlink="">
      <xdr:nvSpPr>
        <xdr:cNvPr id="2" name="Right Arrow 1">
          <a:extLst>
            <a:ext uri="{FF2B5EF4-FFF2-40B4-BE49-F238E27FC236}">
              <a16:creationId xmlns:a16="http://schemas.microsoft.com/office/drawing/2014/main" xmlns="" id="{00000000-0008-0000-0200-000002000000}"/>
            </a:ext>
          </a:extLst>
        </xdr:cNvPr>
        <xdr:cNvSpPr/>
      </xdr:nvSpPr>
      <xdr:spPr>
        <a:xfrm>
          <a:off x="11563350" y="723900"/>
          <a:ext cx="1171575" cy="3057525"/>
        </a:xfrm>
        <a:prstGeom prst="rightArrow">
          <a:avLst>
            <a:gd name="adj1" fmla="val 50000"/>
            <a:gd name="adj2" fmla="val 515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Updated</a:t>
          </a:r>
          <a:r>
            <a:rPr lang="en-US" sz="1400" b="1" baseline="0"/>
            <a:t> Product Launch</a:t>
          </a:r>
          <a:endParaRPr lang="en-US" sz="1400" b="1"/>
        </a:p>
      </xdr:txBody>
    </xdr:sp>
    <xdr:clientData/>
  </xdr:twoCellAnchor>
  <xdr:twoCellAnchor>
    <xdr:from>
      <xdr:col>11</xdr:col>
      <xdr:colOff>28573</xdr:colOff>
      <xdr:row>14</xdr:row>
      <xdr:rowOff>19050</xdr:rowOff>
    </xdr:from>
    <xdr:to>
      <xdr:col>13</xdr:col>
      <xdr:colOff>438149</xdr:colOff>
      <xdr:row>26</xdr:row>
      <xdr:rowOff>142875</xdr:rowOff>
    </xdr:to>
    <xdr:sp macro="" textlink="">
      <xdr:nvSpPr>
        <xdr:cNvPr id="3" name="Right Arrow 2">
          <a:extLst>
            <a:ext uri="{FF2B5EF4-FFF2-40B4-BE49-F238E27FC236}">
              <a16:creationId xmlns:a16="http://schemas.microsoft.com/office/drawing/2014/main" xmlns="" id="{00000000-0008-0000-0200-000003000000}"/>
            </a:ext>
          </a:extLst>
        </xdr:cNvPr>
        <xdr:cNvSpPr/>
      </xdr:nvSpPr>
      <xdr:spPr>
        <a:xfrm rot="10800000" flipV="1">
          <a:off x="6095998" y="3962400"/>
          <a:ext cx="1323976" cy="3057525"/>
        </a:xfrm>
        <a:prstGeom prst="rightArrow">
          <a:avLst>
            <a:gd name="adj1" fmla="val 50000"/>
            <a:gd name="adj2" fmla="val 515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t>CIC.org (OYF)</a:t>
          </a:r>
          <a:r>
            <a:rPr lang="en-US" sz="1400" b="1" baseline="0"/>
            <a:t> Shutdown</a:t>
          </a:r>
          <a:endParaRPr lang="en-US"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123824</xdr:colOff>
      <xdr:row>1</xdr:row>
      <xdr:rowOff>147636</xdr:rowOff>
    </xdr:from>
    <xdr:to>
      <xdr:col>12</xdr:col>
      <xdr:colOff>257175</xdr:colOff>
      <xdr:row>28</xdr:row>
      <xdr:rowOff>0</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742950</xdr:colOff>
      <xdr:row>2</xdr:row>
      <xdr:rowOff>95251</xdr:rowOff>
    </xdr:from>
    <xdr:to>
      <xdr:col>11</xdr:col>
      <xdr:colOff>9525</xdr:colOff>
      <xdr:row>29</xdr:row>
      <xdr:rowOff>123825</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0.17339</cdr:x>
      <cdr:y>0.61428</cdr:y>
    </cdr:from>
    <cdr:to>
      <cdr:x>0.29683</cdr:x>
      <cdr:y>0.7129</cdr:y>
    </cdr:to>
    <cdr:sp macro="" textlink="">
      <cdr:nvSpPr>
        <cdr:cNvPr id="2" name="TextBox 1"/>
        <cdr:cNvSpPr txBox="1"/>
      </cdr:nvSpPr>
      <cdr:spPr>
        <a:xfrm xmlns:a="http://schemas.openxmlformats.org/drawingml/2006/main">
          <a:off x="1251852" y="2404781"/>
          <a:ext cx="891274" cy="38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Deployed</a:t>
          </a:r>
          <a:r>
            <a:rPr lang="en-US" sz="900" baseline="0"/>
            <a:t>  </a:t>
          </a:r>
        </a:p>
        <a:p xmlns:a="http://schemas.openxmlformats.org/drawingml/2006/main">
          <a:r>
            <a:rPr lang="en-US" sz="900"/>
            <a:t>August 2002</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66675</xdr:colOff>
      <xdr:row>22</xdr:row>
      <xdr:rowOff>57150</xdr:rowOff>
    </xdr:from>
    <xdr:to>
      <xdr:col>10</xdr:col>
      <xdr:colOff>695325</xdr:colOff>
      <xdr:row>28</xdr:row>
      <xdr:rowOff>76200</xdr:rowOff>
    </xdr:to>
    <xdr:sp macro="" textlink="">
      <xdr:nvSpPr>
        <xdr:cNvPr id="2" name="TextBox 1">
          <a:extLst>
            <a:ext uri="{FF2B5EF4-FFF2-40B4-BE49-F238E27FC236}">
              <a16:creationId xmlns:a16="http://schemas.microsoft.com/office/drawing/2014/main" xmlns="" id="{00000000-0008-0000-0800-000002000000}"/>
            </a:ext>
          </a:extLst>
        </xdr:cNvPr>
        <xdr:cNvSpPr txBox="1"/>
      </xdr:nvSpPr>
      <xdr:spPr>
        <a:xfrm>
          <a:off x="4505325" y="6934200"/>
          <a:ext cx="42481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chart presents </a:t>
          </a:r>
          <a:r>
            <a:rPr lang="en-US" sz="1100" baseline="0"/>
            <a:t>percentage  ranges of </a:t>
          </a:r>
          <a:r>
            <a:rPr lang="en-US" sz="1100"/>
            <a:t>new</a:t>
          </a:r>
          <a:r>
            <a:rPr lang="en-US" sz="1100" baseline="0"/>
            <a:t> College  In Colorado accounts (6-12) by district  type during the last 3 years compared to the most recent pupil count (6-12) in each district.  Districts that had more than half of their pupil count with an active CIC account during the last 3 years are depicted on the top half of the chart.  Districts are totaled by type.</a:t>
          </a:r>
          <a:endParaRPr lang="en-US" sz="1100"/>
        </a:p>
      </xdr:txBody>
    </xdr:sp>
    <xdr:clientData/>
  </xdr:twoCellAnchor>
  <xdr:twoCellAnchor>
    <xdr:from>
      <xdr:col>0</xdr:col>
      <xdr:colOff>0</xdr:colOff>
      <xdr:row>30</xdr:row>
      <xdr:rowOff>0</xdr:rowOff>
    </xdr:from>
    <xdr:to>
      <xdr:col>2</xdr:col>
      <xdr:colOff>666750</xdr:colOff>
      <xdr:row>32</xdr:row>
      <xdr:rowOff>142875</xdr:rowOff>
    </xdr:to>
    <xdr:sp macro="" textlink="">
      <xdr:nvSpPr>
        <xdr:cNvPr id="3" name="TextBox 2">
          <a:extLst>
            <a:ext uri="{FF2B5EF4-FFF2-40B4-BE49-F238E27FC236}">
              <a16:creationId xmlns:a16="http://schemas.microsoft.com/office/drawing/2014/main" xmlns="" id="{00000000-0008-0000-0800-000003000000}"/>
            </a:ext>
          </a:extLst>
        </xdr:cNvPr>
        <xdr:cNvSpPr txBox="1"/>
      </xdr:nvSpPr>
      <xdr:spPr>
        <a:xfrm>
          <a:off x="0" y="8210550"/>
          <a:ext cx="28003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148 rural districts (80%) comprise only 16% (136,000) of the student population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409575</xdr:colOff>
      <xdr:row>4</xdr:row>
      <xdr:rowOff>190501</xdr:rowOff>
    </xdr:from>
    <xdr:to>
      <xdr:col>12</xdr:col>
      <xdr:colOff>447675</xdr:colOff>
      <xdr:row>24</xdr:row>
      <xdr:rowOff>171451</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19908</xdr:colOff>
      <xdr:row>26</xdr:row>
      <xdr:rowOff>28575</xdr:rowOff>
    </xdr:to>
    <xdr:pic>
      <xdr:nvPicPr>
        <xdr:cNvPr id="2" name="Picture 1">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77908"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oftware_Development\Templates\SigmaXL_Templates\Individuals%20Control%20Cha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y%20Documents\2018%20Taskforce%20Work\Planning%20Work\Profile%20elements%20need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gram%20Files\SigmaXL\SigmaXL.xla"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oftware_Development\Templates\SigmaXL_Templates\Pareto%20Cha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viduals Control Chart"/>
      <sheetName val="Rough data"/>
      <sheetName val="Info"/>
    </sheetNames>
    <sheetDataSet>
      <sheetData sheetId="0"/>
      <sheetData sheetId="1">
        <row r="1">
          <cell r="M1">
            <v>24</v>
          </cell>
        </row>
        <row r="2">
          <cell r="M2">
            <v>36.4</v>
          </cell>
        </row>
        <row r="3">
          <cell r="A3">
            <v>5</v>
          </cell>
          <cell r="M3">
            <v>32.799999999999997</v>
          </cell>
        </row>
        <row r="4">
          <cell r="A4">
            <v>1</v>
          </cell>
          <cell r="M4">
            <v>47.6</v>
          </cell>
        </row>
        <row r="5">
          <cell r="A5">
            <v>2</v>
          </cell>
          <cell r="M5">
            <v>30.6</v>
          </cell>
        </row>
        <row r="6">
          <cell r="M6">
            <v>52.2</v>
          </cell>
        </row>
        <row r="7">
          <cell r="M7">
            <v>35.799999999999997</v>
          </cell>
        </row>
        <row r="8">
          <cell r="M8">
            <v>36.5</v>
          </cell>
        </row>
        <row r="9">
          <cell r="M9">
            <v>39.9</v>
          </cell>
        </row>
        <row r="10">
          <cell r="M10">
            <v>28</v>
          </cell>
        </row>
        <row r="11">
          <cell r="M11">
            <v>25.9</v>
          </cell>
        </row>
        <row r="12">
          <cell r="M12">
            <v>23.9</v>
          </cell>
        </row>
        <row r="13">
          <cell r="M13">
            <v>37.9</v>
          </cell>
        </row>
        <row r="14">
          <cell r="M14">
            <v>17.7</v>
          </cell>
        </row>
        <row r="15">
          <cell r="M15">
            <v>38.799999999999997</v>
          </cell>
        </row>
        <row r="16">
          <cell r="M16">
            <v>32.9</v>
          </cell>
        </row>
        <row r="17">
          <cell r="M17">
            <v>32.4</v>
          </cell>
        </row>
        <row r="18">
          <cell r="M18">
            <v>32.4</v>
          </cell>
        </row>
        <row r="19">
          <cell r="M19">
            <v>36.9</v>
          </cell>
        </row>
        <row r="20">
          <cell r="M20">
            <v>54.7</v>
          </cell>
        </row>
        <row r="21">
          <cell r="M21">
            <v>23.4</v>
          </cell>
        </row>
        <row r="22">
          <cell r="M22">
            <v>30.9</v>
          </cell>
        </row>
        <row r="23">
          <cell r="M23">
            <v>17.899999999999999</v>
          </cell>
        </row>
        <row r="24">
          <cell r="M24">
            <v>27.6</v>
          </cell>
        </row>
        <row r="25">
          <cell r="M25">
            <v>7.1</v>
          </cell>
        </row>
        <row r="26">
          <cell r="M26">
            <v>37.6</v>
          </cell>
        </row>
        <row r="27">
          <cell r="M27">
            <v>61.9</v>
          </cell>
        </row>
        <row r="28">
          <cell r="M28">
            <v>39.200000000000003</v>
          </cell>
        </row>
        <row r="29">
          <cell r="M29">
            <v>35.200000000000003</v>
          </cell>
        </row>
        <row r="30">
          <cell r="M30">
            <v>28.2</v>
          </cell>
        </row>
        <row r="31">
          <cell r="M31">
            <v>28</v>
          </cell>
        </row>
        <row r="32">
          <cell r="M32">
            <v>33.9</v>
          </cell>
        </row>
        <row r="33">
          <cell r="M33">
            <v>31.6</v>
          </cell>
        </row>
        <row r="34">
          <cell r="M34">
            <v>36.6</v>
          </cell>
        </row>
        <row r="35">
          <cell r="M35">
            <v>40.1</v>
          </cell>
        </row>
        <row r="36">
          <cell r="M36">
            <v>22.1</v>
          </cell>
        </row>
        <row r="37">
          <cell r="M37">
            <v>27.8</v>
          </cell>
        </row>
        <row r="38">
          <cell r="M38">
            <v>21.9</v>
          </cell>
        </row>
        <row r="39">
          <cell r="M39">
            <v>53.5</v>
          </cell>
        </row>
        <row r="40">
          <cell r="M40">
            <v>26.1</v>
          </cell>
        </row>
        <row r="41">
          <cell r="M41">
            <v>36.6</v>
          </cell>
        </row>
        <row r="42">
          <cell r="M42">
            <v>40.1</v>
          </cell>
        </row>
        <row r="43">
          <cell r="M43">
            <v>32.5</v>
          </cell>
        </row>
        <row r="44">
          <cell r="M44">
            <v>34.700000000000003</v>
          </cell>
        </row>
        <row r="45">
          <cell r="M45">
            <v>42.1</v>
          </cell>
        </row>
        <row r="46">
          <cell r="M46">
            <v>36.200000000000003</v>
          </cell>
        </row>
        <row r="47">
          <cell r="M47">
            <v>9</v>
          </cell>
        </row>
        <row r="48">
          <cell r="M48">
            <v>20</v>
          </cell>
        </row>
        <row r="49">
          <cell r="M49">
            <v>36.1</v>
          </cell>
        </row>
        <row r="50">
          <cell r="M50">
            <v>26</v>
          </cell>
        </row>
        <row r="51">
          <cell r="M51">
            <v>25.6</v>
          </cell>
        </row>
        <row r="52">
          <cell r="M52">
            <v>40.5</v>
          </cell>
        </row>
        <row r="53">
          <cell r="M53">
            <v>27.5</v>
          </cell>
        </row>
        <row r="54">
          <cell r="M54">
            <v>25.7</v>
          </cell>
        </row>
        <row r="55">
          <cell r="M55">
            <v>53</v>
          </cell>
        </row>
        <row r="56">
          <cell r="M56">
            <v>31.1</v>
          </cell>
        </row>
        <row r="57">
          <cell r="M57">
            <v>56.5</v>
          </cell>
        </row>
        <row r="58">
          <cell r="M58">
            <v>34.200000000000003</v>
          </cell>
        </row>
        <row r="59">
          <cell r="M59">
            <v>41.7</v>
          </cell>
        </row>
        <row r="60">
          <cell r="M60">
            <v>35.200000000000003</v>
          </cell>
        </row>
        <row r="61">
          <cell r="M61">
            <v>39.6</v>
          </cell>
        </row>
        <row r="62">
          <cell r="M62">
            <v>26</v>
          </cell>
        </row>
        <row r="63">
          <cell r="M63">
            <v>47.4</v>
          </cell>
        </row>
        <row r="64">
          <cell r="M64">
            <v>22.8</v>
          </cell>
        </row>
        <row r="65">
          <cell r="M65">
            <v>23.9</v>
          </cell>
        </row>
        <row r="66">
          <cell r="M66">
            <v>42.5</v>
          </cell>
        </row>
        <row r="67">
          <cell r="M67">
            <v>27.1</v>
          </cell>
        </row>
        <row r="68">
          <cell r="M68">
            <v>28.7</v>
          </cell>
        </row>
        <row r="69">
          <cell r="M69">
            <v>45.3</v>
          </cell>
        </row>
        <row r="70">
          <cell r="M70">
            <v>29</v>
          </cell>
        </row>
        <row r="71">
          <cell r="M71">
            <v>27.4</v>
          </cell>
        </row>
        <row r="72">
          <cell r="M72">
            <v>27.1</v>
          </cell>
        </row>
        <row r="73">
          <cell r="M73">
            <v>35.5</v>
          </cell>
        </row>
        <row r="74">
          <cell r="M74">
            <v>38</v>
          </cell>
        </row>
        <row r="75">
          <cell r="M75">
            <v>21.1</v>
          </cell>
        </row>
        <row r="76">
          <cell r="M76">
            <v>23</v>
          </cell>
        </row>
        <row r="77">
          <cell r="M77">
            <v>45.6</v>
          </cell>
        </row>
        <row r="78">
          <cell r="M78">
            <v>39.9</v>
          </cell>
        </row>
        <row r="79">
          <cell r="M79">
            <v>23.6</v>
          </cell>
        </row>
        <row r="80">
          <cell r="M80">
            <v>34.5</v>
          </cell>
        </row>
        <row r="81">
          <cell r="M81">
            <v>33.6</v>
          </cell>
        </row>
        <row r="82">
          <cell r="M82">
            <v>48.8</v>
          </cell>
        </row>
        <row r="83">
          <cell r="M83">
            <v>32.4</v>
          </cell>
        </row>
        <row r="84">
          <cell r="M84">
            <v>46.3</v>
          </cell>
        </row>
        <row r="85">
          <cell r="M85">
            <v>26.1</v>
          </cell>
        </row>
        <row r="86">
          <cell r="M86">
            <v>42.4</v>
          </cell>
        </row>
        <row r="87">
          <cell r="M87">
            <v>43.4</v>
          </cell>
        </row>
        <row r="88">
          <cell r="M88">
            <v>45.1</v>
          </cell>
        </row>
        <row r="89">
          <cell r="M89">
            <v>23.6</v>
          </cell>
        </row>
        <row r="90">
          <cell r="M90">
            <v>29.2</v>
          </cell>
        </row>
        <row r="91">
          <cell r="M91">
            <v>57.9</v>
          </cell>
        </row>
        <row r="92">
          <cell r="M92">
            <v>20.399999999999999</v>
          </cell>
        </row>
        <row r="93">
          <cell r="M93">
            <v>33</v>
          </cell>
        </row>
        <row r="94">
          <cell r="M94">
            <v>25.2</v>
          </cell>
        </row>
        <row r="95">
          <cell r="M95">
            <v>50.4</v>
          </cell>
        </row>
        <row r="96">
          <cell r="M96">
            <v>29.4</v>
          </cell>
        </row>
        <row r="97">
          <cell r="M97">
            <v>43.4</v>
          </cell>
        </row>
        <row r="98">
          <cell r="M98">
            <v>36.799999999999997</v>
          </cell>
        </row>
        <row r="99">
          <cell r="M99">
            <v>43.5</v>
          </cell>
        </row>
        <row r="100">
          <cell r="M100">
            <v>34.299999999999997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rofile elements needed"/>
      <sheetName val="Profile%20elements%20needed.xls"/>
    </sheetNames>
    <definedNames>
      <definedName name="cdfButton_Click" refersTo="#REF!"/>
      <definedName name="cpk_Area_Style_Click" refersTo="#REF!"/>
      <definedName name="cpk_Change_LSL_Click" refersTo="#REF!"/>
      <definedName name="cpk_Change_USL_Click" refersTo="#REF!"/>
      <definedName name="cpk_Line_Style_Click" refersTo="#REF!"/>
      <definedName name="cpk_No_LSL_Click" refersTo="#REF!"/>
      <definedName name="cpk_No_USL_Click" refersTo="#REF!"/>
      <definedName name="cpk_Res_Spinner_Click" refersTo="#REF!"/>
      <definedName name="cpkButton_Click" refersTo="#REF!"/>
      <definedName name="Diagram_Back_Click" refersTo="#REF!"/>
      <definedName name="Diagram_Finish_Click" refersTo="#REF!"/>
      <definedName name="Diagram_Finish_Click_" refersTo="#REF!"/>
      <definedName name="Diagrams_Dialog_Constructor" refersTo="#REF!"/>
      <definedName name="g_Cancel_Chart" refersTo="#REF!"/>
      <definedName name="hist_Back_Click" refersTo="#REF!"/>
      <definedName name="hist_Save_Defaults" refersTo="#REF!"/>
      <definedName name="histButton_Click" refersTo="#REF!"/>
      <definedName name="par_2DwCum_Click" refersTo="#REF!"/>
      <definedName name="par_2DwoCum_Click" refersTo="#REF!"/>
      <definedName name="par_3DwoCum_Click" refersTo="#REF!"/>
      <definedName name="par_Ascend_Click" refersTo="#REF!"/>
      <definedName name="par_Back_Click" refersTo="#REF!"/>
      <definedName name="par_Descend_Click" refersTo="#REF!"/>
      <definedName name="par_First_Row_Click" refersTo="#REF!"/>
      <definedName name="par_Save_Defaults" refersTo="#REF!"/>
      <definedName name="parButton_Click" refersTo="#REF!"/>
      <definedName name="scat_Back_Click" refersTo="#REF!"/>
      <definedName name="scat_Backward_Spinner_Click" refersTo="#REF!"/>
      <definedName name="scat_Cubic_Click" refersTo="#REF!"/>
      <definedName name="scat_Display_Stats_Click" refersTo="#REF!"/>
      <definedName name="scat_Forward_Spinner_Click" refersTo="#REF!"/>
      <definedName name="scat_Linear_Click" refersTo="#REF!"/>
      <definedName name="scat_No_Line_Click" refersTo="#REF!"/>
      <definedName name="scat_Quadratic_Click" refersTo="#REF!"/>
      <definedName name="scat_Save_Defaults" refersTo="#REF!"/>
      <definedName name="scatButton_Click" refersTo="#REF!"/>
      <definedName name="Small_Back_Click" refersTo="#REF!"/>
      <definedName name="Small_Back_Click_" refersTo="#REF!"/>
      <definedName name="statButton_Click" refersTo="#REF!"/>
    </defined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hbone5"/>
      <sheetName val="Prioritization Matrix"/>
      <sheetName val=" Cause &amp; Effect (Fishbone)"/>
      <sheetName val=" Cause &amp; Effect Template"/>
      <sheetName val=" Fishbone"/>
      <sheetName val="Multiple Regression"/>
      <sheetName val="Cause &amp; Effect (Fishbone)"/>
      <sheetName val="Fishbone"/>
      <sheetName val=" FMEA"/>
      <sheetName val="C (Count) Control Chart"/>
      <sheetName val="Individuals Control Chart"/>
      <sheetName val="Run Chart"/>
      <sheetName val="Histogram"/>
      <sheetName val="SIPOC"/>
      <sheetName val="Pareto Chart"/>
      <sheetName val="VA Process Load"/>
      <sheetName val="IPO Diagram"/>
      <sheetName val="OEE"/>
      <sheetName val="Stakeholder Analysis"/>
      <sheetName val="Rough data"/>
      <sheetName val="Takt Time"/>
      <sheetName val="Pugh Matrix"/>
      <sheetName val="30by30"/>
      <sheetName val="20by20"/>
      <sheetName val="10by10"/>
      <sheetName val="Charter"/>
      <sheetName val="Measurement Plan"/>
      <sheetName val="Control Plan"/>
      <sheetName val="Gage R&amp;R"/>
      <sheetName val="Weibull"/>
      <sheetName val="DOE_Lookup"/>
      <sheetName val="Att_MSA_Bin"/>
      <sheetName val="Gage R&amp;R (Crossed) WKS"/>
      <sheetName val="DOE_Analyze"/>
      <sheetName val="MISC"/>
      <sheetName val="DOE"/>
      <sheetName val="Sheet5"/>
      <sheetName val="Sheet4"/>
      <sheetName val="Sheet3"/>
      <sheetName val="Gage_R&amp;R"/>
      <sheetName val="FMEA"/>
      <sheetName val="Attribute MSA"/>
      <sheetName val="Process Sigma Continuous"/>
      <sheetName val="Sheet2"/>
      <sheetName val="Sheet1"/>
      <sheetName val="xbarlook"/>
      <sheetName val="ppforpivot1"/>
      <sheetName val="Process Sigma Discrete"/>
      <sheetName val="SampleCharts"/>
      <sheetName val="SampleMultiCharts"/>
      <sheetName val="Five-Factor 16-Run DOE"/>
      <sheetName val="Four-Factor 16-Run DOE"/>
      <sheetName val="Three-Factor 8-Run DOE"/>
      <sheetName val="Four-Factor 8-Run DOE"/>
      <sheetName val="Five-Factor 8-Run DOE"/>
      <sheetName val="Two-Factor 4-Run DOE"/>
      <sheetName val="Three-Factor 4-Run DOE"/>
      <sheetName val="C&amp;E Matrix"/>
      <sheetName val="Binary Logistic"/>
      <sheetName val="Ordinal Logistic Regre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test1</v>
          </cell>
          <cell r="B1">
            <v>-1000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eto Chart"/>
      <sheetName val="Rough data"/>
    </sheetNames>
    <sheetDataSet>
      <sheetData sheetId="0"/>
      <sheetData sheetId="1">
        <row r="1">
          <cell r="E1" t="str">
            <v>Count of Category</v>
          </cell>
        </row>
        <row r="2">
          <cell r="E2" t="str">
            <v>Count</v>
          </cell>
        </row>
        <row r="3">
          <cell r="E3">
            <v>0</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row r="15">
          <cell r="E15">
            <v>13</v>
          </cell>
        </row>
        <row r="16">
          <cell r="E16">
            <v>14</v>
          </cell>
        </row>
        <row r="17">
          <cell r="E17">
            <v>15</v>
          </cell>
        </row>
        <row r="18">
          <cell r="E18">
            <v>16</v>
          </cell>
        </row>
        <row r="19">
          <cell r="E19">
            <v>17</v>
          </cell>
        </row>
        <row r="20">
          <cell r="E20">
            <v>18</v>
          </cell>
        </row>
        <row r="21">
          <cell r="E21">
            <v>19</v>
          </cell>
        </row>
        <row r="22">
          <cell r="E22">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Tucker_A@cde.state.co.us" TargetMode="External"/><Relationship Id="rId13" Type="http://schemas.openxmlformats.org/officeDocument/2006/relationships/hyperlink" Target="mailto:dstreeter@elevatetheusa.org" TargetMode="External"/><Relationship Id="rId3" Type="http://schemas.openxmlformats.org/officeDocument/2006/relationships/hyperlink" Target="mailto:jerene.petersen@state.co.us" TargetMode="External"/><Relationship Id="rId7" Type="http://schemas.openxmlformats.org/officeDocument/2006/relationships/hyperlink" Target="mailto:sarah.leopold@state.co.us" TargetMode="External"/><Relationship Id="rId12" Type="http://schemas.openxmlformats.org/officeDocument/2006/relationships/hyperlink" Target="mailto:trevor.williams@state.co.us" TargetMode="External"/><Relationship Id="rId2" Type="http://schemas.openxmlformats.org/officeDocument/2006/relationships/hyperlink" Target="mailto:Tony.Streveler@state.co.us" TargetMode="External"/><Relationship Id="rId1" Type="http://schemas.openxmlformats.org/officeDocument/2006/relationships/hyperlink" Target="mailto:Julia.Pirnack@cic.state.co.us" TargetMode="External"/><Relationship Id="rId6" Type="http://schemas.openxmlformats.org/officeDocument/2006/relationships/hyperlink" Target="mailto:Pierre.Powell@dhe.state.co.us" TargetMode="External"/><Relationship Id="rId11" Type="http://schemas.openxmlformats.org/officeDocument/2006/relationships/hyperlink" Target="mailto:stephanie.veck@state.co.us" TargetMode="External"/><Relationship Id="rId5" Type="http://schemas.openxmlformats.org/officeDocument/2006/relationships/hyperlink" Target="mailto:robert.buzogany@state.co.us" TargetMode="External"/><Relationship Id="rId15" Type="http://schemas.openxmlformats.org/officeDocument/2006/relationships/printerSettings" Target="../printerSettings/printerSettings9.bin"/><Relationship Id="rId10" Type="http://schemas.openxmlformats.org/officeDocument/2006/relationships/hyperlink" Target="mailto:andrew.galloway@state.co.us" TargetMode="External"/><Relationship Id="rId4" Type="http://schemas.openxmlformats.org/officeDocument/2006/relationships/hyperlink" Target="mailto:steve.anton@state.co.us" TargetMode="External"/><Relationship Id="rId9" Type="http://schemas.openxmlformats.org/officeDocument/2006/relationships/hyperlink" Target="mailto:fred.franko@state.co.us" TargetMode="External"/><Relationship Id="rId14" Type="http://schemas.openxmlformats.org/officeDocument/2006/relationships/hyperlink" Target="mailto:megan.mcdermott@cic.state.co.u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eab.com/technology/navigate" TargetMode="External"/><Relationship Id="rId21" Type="http://schemas.openxmlformats.org/officeDocument/2006/relationships/hyperlink" Target="https://guidedpath.net/" TargetMode="External"/><Relationship Id="rId42" Type="http://schemas.openxmlformats.org/officeDocument/2006/relationships/hyperlink" Target="mailto:accounting@cevmultimedia.com" TargetMode="External"/><Relationship Id="rId47" Type="http://schemas.openxmlformats.org/officeDocument/2006/relationships/hyperlink" Target="http://www.emaspro.com/" TargetMode="External"/><Relationship Id="rId63" Type="http://schemas.openxmlformats.org/officeDocument/2006/relationships/hyperlink" Target="http://www.techtonicgroup.com/" TargetMode="External"/><Relationship Id="rId68" Type="http://schemas.openxmlformats.org/officeDocument/2006/relationships/hyperlink" Target="mailto:brad.smith@slalom.com" TargetMode="External"/><Relationship Id="rId7" Type="http://schemas.openxmlformats.org/officeDocument/2006/relationships/hyperlink" Target="https://www.act.org/content/act/en/products-and-services/act-profile.html" TargetMode="External"/><Relationship Id="rId2" Type="http://schemas.openxmlformats.org/officeDocument/2006/relationships/hyperlink" Target="https://www.virtualjobshadow.com/contact/" TargetMode="External"/><Relationship Id="rId16" Type="http://schemas.openxmlformats.org/officeDocument/2006/relationships/hyperlink" Target="https://www.cappex.com/page/about/executiveTeam.jsp" TargetMode="External"/><Relationship Id="rId29" Type="http://schemas.openxmlformats.org/officeDocument/2006/relationships/hyperlink" Target="https://www.collegegreenlight.com/" TargetMode="External"/><Relationship Id="rId11" Type="http://schemas.openxmlformats.org/officeDocument/2006/relationships/hyperlink" Target="mailto:sales@comm100.com" TargetMode="External"/><Relationship Id="rId24" Type="http://schemas.openxmlformats.org/officeDocument/2006/relationships/hyperlink" Target="https://www.wix.com/" TargetMode="External"/><Relationship Id="rId32" Type="http://schemas.openxmlformats.org/officeDocument/2006/relationships/hyperlink" Target="https://www.salesforce.com/" TargetMode="External"/><Relationship Id="rId37" Type="http://schemas.openxmlformats.org/officeDocument/2006/relationships/hyperlink" Target="https://www.naviance.com/" TargetMode="External"/><Relationship Id="rId40" Type="http://schemas.openxmlformats.org/officeDocument/2006/relationships/hyperlink" Target="https://bigfuture.collegeboard.org/college-search" TargetMode="External"/><Relationship Id="rId45" Type="http://schemas.openxmlformats.org/officeDocument/2006/relationships/hyperlink" Target="https://www.onetcenter.org/overview.html" TargetMode="External"/><Relationship Id="rId53" Type="http://schemas.openxmlformats.org/officeDocument/2006/relationships/hyperlink" Target="http://www.couragion.com/" TargetMode="External"/><Relationship Id="rId58" Type="http://schemas.openxmlformats.org/officeDocument/2006/relationships/hyperlink" Target="mailto:kathryn@instructure.com" TargetMode="External"/><Relationship Id="rId66" Type="http://schemas.openxmlformats.org/officeDocument/2006/relationships/hyperlink" Target="http://www.govwin.com/" TargetMode="External"/><Relationship Id="rId5" Type="http://schemas.openxmlformats.org/officeDocument/2006/relationships/hyperlink" Target="https://www.box.com/home" TargetMode="External"/><Relationship Id="rId61" Type="http://schemas.openxmlformats.org/officeDocument/2006/relationships/hyperlink" Target="mailto:jeffm@xello.world" TargetMode="External"/><Relationship Id="rId19" Type="http://schemas.openxmlformats.org/officeDocument/2006/relationships/hyperlink" Target="https://www.mulesoft.com/" TargetMode="External"/><Relationship Id="rId14" Type="http://schemas.openxmlformats.org/officeDocument/2006/relationships/hyperlink" Target="https://literacypro.com/" TargetMode="External"/><Relationship Id="rId22" Type="http://schemas.openxmlformats.org/officeDocument/2006/relationships/hyperlink" Target="https://guidedpath.net/about/" TargetMode="External"/><Relationship Id="rId27" Type="http://schemas.openxmlformats.org/officeDocument/2006/relationships/hyperlink" Target="http://tuapath.com/" TargetMode="External"/><Relationship Id="rId30" Type="http://schemas.openxmlformats.org/officeDocument/2006/relationships/hyperlink" Target="https://www.xap.com/" TargetMode="External"/><Relationship Id="rId35" Type="http://schemas.openxmlformats.org/officeDocument/2006/relationships/hyperlink" Target="https://www.athenasoftware.net/" TargetMode="External"/><Relationship Id="rId43" Type="http://schemas.openxmlformats.org/officeDocument/2006/relationships/hyperlink" Target="mailto:japril@collegegreenlight.com" TargetMode="External"/><Relationship Id="rId48" Type="http://schemas.openxmlformats.org/officeDocument/2006/relationships/hyperlink" Target="https://slate.org/" TargetMode="External"/><Relationship Id="rId56" Type="http://schemas.openxmlformats.org/officeDocument/2006/relationships/hyperlink" Target="mailto:slate-proposals@technolutions.com" TargetMode="External"/><Relationship Id="rId64" Type="http://schemas.openxmlformats.org/officeDocument/2006/relationships/hyperlink" Target="mailto:adam@brighthive.io" TargetMode="External"/><Relationship Id="rId69" Type="http://schemas.openxmlformats.org/officeDocument/2006/relationships/printerSettings" Target="../printerSettings/printerSettings2.bin"/><Relationship Id="rId8" Type="http://schemas.openxmlformats.org/officeDocument/2006/relationships/hyperlink" Target="mailto:shirley.antolik@act.org" TargetMode="External"/><Relationship Id="rId51" Type="http://schemas.openxmlformats.org/officeDocument/2006/relationships/hyperlink" Target="mailto:info@jobzology.com" TargetMode="External"/><Relationship Id="rId3" Type="http://schemas.openxmlformats.org/officeDocument/2006/relationships/hyperlink" Target="mailto:amanda@strivven.com" TargetMode="External"/><Relationship Id="rId12" Type="http://schemas.openxmlformats.org/officeDocument/2006/relationships/hyperlink" Target="https://literacypro.com/" TargetMode="External"/><Relationship Id="rId17" Type="http://schemas.openxmlformats.org/officeDocument/2006/relationships/hyperlink" Target="https://www.mulesoft.com/team" TargetMode="External"/><Relationship Id="rId25" Type="http://schemas.openxmlformats.org/officeDocument/2006/relationships/hyperlink" Target="https://www.majorclarity.com/" TargetMode="External"/><Relationship Id="rId33" Type="http://schemas.openxmlformats.org/officeDocument/2006/relationships/hyperlink" Target="https://www.nsparc.msstate.edu/about/" TargetMode="External"/><Relationship Id="rId38" Type="http://schemas.openxmlformats.org/officeDocument/2006/relationships/hyperlink" Target="https://www.mappingyourfuture.org/" TargetMode="External"/><Relationship Id="rId46" Type="http://schemas.openxmlformats.org/officeDocument/2006/relationships/hyperlink" Target="http://www.l1to1.org/" TargetMode="External"/><Relationship Id="rId59" Type="http://schemas.openxmlformats.org/officeDocument/2006/relationships/hyperlink" Target="tel:%28801%29%20869-5000" TargetMode="External"/><Relationship Id="rId67" Type="http://schemas.openxmlformats.org/officeDocument/2006/relationships/hyperlink" Target="mailto:MorganParkin@deltek.com" TargetMode="External"/><Relationship Id="rId20" Type="http://schemas.openxmlformats.org/officeDocument/2006/relationships/hyperlink" Target="https://www.nexttier.com/" TargetMode="External"/><Relationship Id="rId41" Type="http://schemas.openxmlformats.org/officeDocument/2006/relationships/hyperlink" Target="https://www.practicalmoneyskills.com/" TargetMode="External"/><Relationship Id="rId54" Type="http://schemas.openxmlformats.org/officeDocument/2006/relationships/hyperlink" Target="https://www.viridislearning.com/" TargetMode="External"/><Relationship Id="rId62" Type="http://schemas.openxmlformats.org/officeDocument/2006/relationships/hyperlink" Target="http://vertiba.com/vip/" TargetMode="External"/><Relationship Id="rId1" Type="http://schemas.openxmlformats.org/officeDocument/2006/relationships/hyperlink" Target="http://www.virtualjobshadow.com/" TargetMode="External"/><Relationship Id="rId6" Type="http://schemas.openxmlformats.org/officeDocument/2006/relationships/hyperlink" Target="https://www.box.com/home" TargetMode="External"/><Relationship Id="rId15" Type="http://schemas.openxmlformats.org/officeDocument/2006/relationships/hyperlink" Target="https://www.cappex.com/" TargetMode="External"/><Relationship Id="rId23" Type="http://schemas.openxmlformats.org/officeDocument/2006/relationships/hyperlink" Target="mailto:cyndy@guidedpath.net" TargetMode="External"/><Relationship Id="rId28" Type="http://schemas.openxmlformats.org/officeDocument/2006/relationships/hyperlink" Target="mailto:mikes2@tuapath.com" TargetMode="External"/><Relationship Id="rId36" Type="http://schemas.openxmlformats.org/officeDocument/2006/relationships/hyperlink" Target="https://public.careercruising.com/en/" TargetMode="External"/><Relationship Id="rId49" Type="http://schemas.openxmlformats.org/officeDocument/2006/relationships/hyperlink" Target="http://www.sarsgrid.com/" TargetMode="External"/><Relationship Id="rId57" Type="http://schemas.openxmlformats.org/officeDocument/2006/relationships/hyperlink" Target="mailto:Msoldner@air.org" TargetMode="External"/><Relationship Id="rId10" Type="http://schemas.openxmlformats.org/officeDocument/2006/relationships/hyperlink" Target="https://www.comm100.com/company/executive-team.aspx" TargetMode="External"/><Relationship Id="rId31" Type="http://schemas.openxmlformats.org/officeDocument/2006/relationships/hyperlink" Target="https://www.skillful.com/" TargetMode="External"/><Relationship Id="rId44" Type="http://schemas.openxmlformats.org/officeDocument/2006/relationships/hyperlink" Target="https://www.hobsons.com/about" TargetMode="External"/><Relationship Id="rId52" Type="http://schemas.openxmlformats.org/officeDocument/2006/relationships/hyperlink" Target="mailto:laura@couragion.com" TargetMode="External"/><Relationship Id="rId60" Type="http://schemas.openxmlformats.org/officeDocument/2006/relationships/hyperlink" Target="http://www.bitsinglass.com/" TargetMode="External"/><Relationship Id="rId65" Type="http://schemas.openxmlformats.org/officeDocument/2006/relationships/hyperlink" Target="mailto:audrey@majorclarity.com" TargetMode="External"/><Relationship Id="rId4" Type="http://schemas.openxmlformats.org/officeDocument/2006/relationships/hyperlink" Target="mailto:carolinacruz@box.com" TargetMode="External"/><Relationship Id="rId9" Type="http://schemas.openxmlformats.org/officeDocument/2006/relationships/hyperlink" Target="https://www.comm100.com/" TargetMode="External"/><Relationship Id="rId13" Type="http://schemas.openxmlformats.org/officeDocument/2006/relationships/hyperlink" Target="mailto:gneil@literacypro.com" TargetMode="External"/><Relationship Id="rId18" Type="http://schemas.openxmlformats.org/officeDocument/2006/relationships/hyperlink" Target="https://www.icevonline.com/" TargetMode="External"/><Relationship Id="rId39" Type="http://schemas.openxmlformats.org/officeDocument/2006/relationships/hyperlink" Target="https://www.datausa.com/Home" TargetMode="External"/><Relationship Id="rId34" Type="http://schemas.openxmlformats.org/officeDocument/2006/relationships/hyperlink" Target="http://www.vertiba.com/" TargetMode="External"/><Relationship Id="rId50" Type="http://schemas.openxmlformats.org/officeDocument/2006/relationships/hyperlink" Target="mailto:lipker@emaspro.com" TargetMode="External"/><Relationship Id="rId55" Type="http://schemas.openxmlformats.org/officeDocument/2006/relationships/hyperlink" Target="http://www.technolutions.co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6" Type="http://schemas.openxmlformats.org/officeDocument/2006/relationships/hyperlink" Target="https://content.xap.com/media/19263/cic_high_school_academic_planning_lesson_6.pdf" TargetMode="External"/><Relationship Id="rId21" Type="http://schemas.openxmlformats.org/officeDocument/2006/relationships/hyperlink" Target="https://content.xap.com/media/19248/cic_high_school_academic_planning_lesson_1.pdf" TargetMode="External"/><Relationship Id="rId42" Type="http://schemas.openxmlformats.org/officeDocument/2006/relationships/hyperlink" Target="https://content.xap.com/media/19281/cic_job_search_lesson_2.pdf" TargetMode="External"/><Relationship Id="rId47" Type="http://schemas.openxmlformats.org/officeDocument/2006/relationships/hyperlink" Target="https://content.xap.com/media/19296/cic_job_search_lesson_7.pdf" TargetMode="External"/><Relationship Id="rId63" Type="http://schemas.openxmlformats.org/officeDocument/2006/relationships/hyperlink" Target="https://content.xap.com/media/19378/cic_tpg_worksheet_01.pdf" TargetMode="External"/><Relationship Id="rId68" Type="http://schemas.openxmlformats.org/officeDocument/2006/relationships/hyperlink" Target="https://content.xap.com/media/19393/cic_tpg_worksheet_06.pdf" TargetMode="External"/><Relationship Id="rId16" Type="http://schemas.openxmlformats.org/officeDocument/2006/relationships/hyperlink" Target="https://content.xap.com/media/19353/cic_postsecondary_planning_lesson_6.pdf" TargetMode="External"/><Relationship Id="rId11" Type="http://schemas.openxmlformats.org/officeDocument/2006/relationships/hyperlink" Target="https://content.xap.com/media/19338/cic_postsecondary_planning_lesson_1.pdf" TargetMode="External"/><Relationship Id="rId24" Type="http://schemas.openxmlformats.org/officeDocument/2006/relationships/hyperlink" Target="https://content.xap.com/media/19257/cic_high_school_academic_planning_lesson_4.pdf" TargetMode="External"/><Relationship Id="rId32" Type="http://schemas.openxmlformats.org/officeDocument/2006/relationships/hyperlink" Target="https://content.xap.com/media/19214/cic_financial_aid_planning_lesson_2.pdf" TargetMode="External"/><Relationship Id="rId37" Type="http://schemas.openxmlformats.org/officeDocument/2006/relationships/hyperlink" Target="https://content.xap.com/media/19229/cic_financial_aid_planning_lesson_7.pdf" TargetMode="External"/><Relationship Id="rId40" Type="http://schemas.openxmlformats.org/officeDocument/2006/relationships/hyperlink" Target="https://content.xap.com/media/19238/cic_financial_aid_planning_lesson_10.pdf" TargetMode="External"/><Relationship Id="rId45" Type="http://schemas.openxmlformats.org/officeDocument/2006/relationships/hyperlink" Target="https://content.xap.com/media/19290/cic_job_search_lesson_5.pdf" TargetMode="External"/><Relationship Id="rId53" Type="http://schemas.openxmlformats.org/officeDocument/2006/relationships/hyperlink" Target="https://content.xap.com/media/19314/cic_lifelong_portfolio_lesson_3.pdf" TargetMode="External"/><Relationship Id="rId58" Type="http://schemas.openxmlformats.org/officeDocument/2006/relationships/hyperlink" Target="https://content.xap.com/media/19329/cic_job_search_lesson_8.pdf" TargetMode="External"/><Relationship Id="rId66" Type="http://schemas.openxmlformats.org/officeDocument/2006/relationships/hyperlink" Target="https://content.xap.com/media/19387/cic_tpg_worksheet_04__2_.pdf" TargetMode="External"/><Relationship Id="rId74" Type="http://schemas.openxmlformats.org/officeDocument/2006/relationships/hyperlink" Target="https://content.xap.com/media/19411/cic_tpg_worksheet_12.pdf" TargetMode="External"/><Relationship Id="rId5" Type="http://schemas.openxmlformats.org/officeDocument/2006/relationships/hyperlink" Target="https://content.xap.com/media/19447/lesson_5_ce.pdf" TargetMode="External"/><Relationship Id="rId61" Type="http://schemas.openxmlformats.org/officeDocument/2006/relationships/hyperlink" Target="https://content.xap.com/media/19429/more_successful_transition_guide_intro_transitions-1.pdf" TargetMode="External"/><Relationship Id="rId19" Type="http://schemas.openxmlformats.org/officeDocument/2006/relationships/hyperlink" Target="https://content.xap.com/media/19362/cic_postsecondary_planning_lesson_9.pdf" TargetMode="External"/><Relationship Id="rId14" Type="http://schemas.openxmlformats.org/officeDocument/2006/relationships/hyperlink" Target="https://content.xap.com/media/19347/cic_postsecondary_planning_lesson_4.pdf" TargetMode="External"/><Relationship Id="rId22" Type="http://schemas.openxmlformats.org/officeDocument/2006/relationships/hyperlink" Target="https://content.xap.com/media/19251/cic_high_school_academic_planning_lesson_2.pdf" TargetMode="External"/><Relationship Id="rId27" Type="http://schemas.openxmlformats.org/officeDocument/2006/relationships/hyperlink" Target="https://content.xap.com/media/19266/cic_high_school_academic_planning_lesson_7.pdf" TargetMode="External"/><Relationship Id="rId30" Type="http://schemas.openxmlformats.org/officeDocument/2006/relationships/hyperlink" Target="https://content.xap.com/media/19275/cic_high_school_academic_planning_lesson_10.pdf" TargetMode="External"/><Relationship Id="rId35" Type="http://schemas.openxmlformats.org/officeDocument/2006/relationships/hyperlink" Target="https://content.xap.com/media/19223/lesson_plan_fap5_fafsaiskey2016.pdf" TargetMode="External"/><Relationship Id="rId43" Type="http://schemas.openxmlformats.org/officeDocument/2006/relationships/hyperlink" Target="https://content.xap.com/media/19284/cic_job_search_lesson_3.pdf" TargetMode="External"/><Relationship Id="rId48" Type="http://schemas.openxmlformats.org/officeDocument/2006/relationships/hyperlink" Target="https://content.xap.com/media/19299/cic_job_search_lesson_8.pdf" TargetMode="External"/><Relationship Id="rId56" Type="http://schemas.openxmlformats.org/officeDocument/2006/relationships/hyperlink" Target="https://content.xap.com/media/19323/cic_lifelong_portfolio_lesson_6.pdf" TargetMode="External"/><Relationship Id="rId64" Type="http://schemas.openxmlformats.org/officeDocument/2006/relationships/hyperlink" Target="https://content.xap.com/media/19381/cic_tpg_worksheet_02__2_.pdf" TargetMode="External"/><Relationship Id="rId69" Type="http://schemas.openxmlformats.org/officeDocument/2006/relationships/hyperlink" Target="https://content.xap.com/media/19396/cic_tpg_worksheet_07.pdf" TargetMode="External"/><Relationship Id="rId77" Type="http://schemas.openxmlformats.org/officeDocument/2006/relationships/hyperlink" Target="https://content.xap.com/media/19420/tpg_worksheet_15.pdf" TargetMode="External"/><Relationship Id="rId8" Type="http://schemas.openxmlformats.org/officeDocument/2006/relationships/hyperlink" Target="https://content.xap.com/media/19456/lesson_8_ce.pdf" TargetMode="External"/><Relationship Id="rId51" Type="http://schemas.openxmlformats.org/officeDocument/2006/relationships/hyperlink" Target="https://content.xap.com/media/19308/cic_lifelong_portfolio_lesson_1.pdf" TargetMode="External"/><Relationship Id="rId72" Type="http://schemas.openxmlformats.org/officeDocument/2006/relationships/hyperlink" Target="https://content.xap.com/media/19405/cic_tpg_worksheet_10.pdf" TargetMode="External"/><Relationship Id="rId3" Type="http://schemas.openxmlformats.org/officeDocument/2006/relationships/hyperlink" Target="https://content.xap.com/media/19441/lesson_3_ce.pdf" TargetMode="External"/><Relationship Id="rId12" Type="http://schemas.openxmlformats.org/officeDocument/2006/relationships/hyperlink" Target="https://content.xap.com/media/19341/cic_postsecondary_planning_lesson_2.pdf" TargetMode="External"/><Relationship Id="rId17" Type="http://schemas.openxmlformats.org/officeDocument/2006/relationships/hyperlink" Target="https://content.xap.com/media/19356/cic_postsecondary_planning_lesson_7.pdf" TargetMode="External"/><Relationship Id="rId25" Type="http://schemas.openxmlformats.org/officeDocument/2006/relationships/hyperlink" Target="https://content.xap.com/media/19260/cic_high_school_academic_planning_lesson_5.pdf" TargetMode="External"/><Relationship Id="rId33" Type="http://schemas.openxmlformats.org/officeDocument/2006/relationships/hyperlink" Target="https://content.xap.com/media/19217/cic_financial_aid_planning_lesson_3.pdf" TargetMode="External"/><Relationship Id="rId38" Type="http://schemas.openxmlformats.org/officeDocument/2006/relationships/hyperlink" Target="https://content.xap.com/media/19232/cic_financial_aid_planning_lesson_8.pdf" TargetMode="External"/><Relationship Id="rId46" Type="http://schemas.openxmlformats.org/officeDocument/2006/relationships/hyperlink" Target="https://content.xap.com/media/19293/cic_job_search_lesson_6.pdf" TargetMode="External"/><Relationship Id="rId59" Type="http://schemas.openxmlformats.org/officeDocument/2006/relationships/hyperlink" Target="https://content.xap.com/media/19332/cic_lifelong_portfolio_lesson_9.pdf" TargetMode="External"/><Relationship Id="rId67" Type="http://schemas.openxmlformats.org/officeDocument/2006/relationships/hyperlink" Target="https://content.xap.com/media/19390/cic_tpg_worksheet_05.pdf" TargetMode="External"/><Relationship Id="rId20" Type="http://schemas.openxmlformats.org/officeDocument/2006/relationships/hyperlink" Target="https://content.xap.com/media/19365/cic_postsecondary_planning_lesson_10.pdf" TargetMode="External"/><Relationship Id="rId41" Type="http://schemas.openxmlformats.org/officeDocument/2006/relationships/hyperlink" Target="https://content.xap.com/media/19278/cic_job_search_lesson_1.pdf" TargetMode="External"/><Relationship Id="rId54" Type="http://schemas.openxmlformats.org/officeDocument/2006/relationships/hyperlink" Target="https://content.xap.com/media/19317/cic_lifelong_portfolio_lesson_4.pdf" TargetMode="External"/><Relationship Id="rId62" Type="http://schemas.openxmlformats.org/officeDocument/2006/relationships/hyperlink" Target="https://content.xap.com/media/19375/20_top_questions_and_ways_to_answer_them_cic.pdf" TargetMode="External"/><Relationship Id="rId70" Type="http://schemas.openxmlformats.org/officeDocument/2006/relationships/hyperlink" Target="https://content.xap.com/media/19399/cic_tpg_worksheet_08.pdf" TargetMode="External"/><Relationship Id="rId75" Type="http://schemas.openxmlformats.org/officeDocument/2006/relationships/hyperlink" Target="https://content.xap.com/media/19414/cic_tpg_worksheet_13.pdf" TargetMode="External"/><Relationship Id="rId1" Type="http://schemas.openxmlformats.org/officeDocument/2006/relationships/hyperlink" Target="https://content.xap.com/media/19435/lesson_1_ce.pdf" TargetMode="External"/><Relationship Id="rId6" Type="http://schemas.openxmlformats.org/officeDocument/2006/relationships/hyperlink" Target="https://content.xap.com/media/19450/lesson_6_ce.pdf" TargetMode="External"/><Relationship Id="rId15" Type="http://schemas.openxmlformats.org/officeDocument/2006/relationships/hyperlink" Target="https://content.xap.com/media/19350/cic_postsecondary_planning_lesson_5.pdf" TargetMode="External"/><Relationship Id="rId23" Type="http://schemas.openxmlformats.org/officeDocument/2006/relationships/hyperlink" Target="https://content.xap.com/media/19254/cic_high_school_academic_planning_lesson_3.pdf" TargetMode="External"/><Relationship Id="rId28" Type="http://schemas.openxmlformats.org/officeDocument/2006/relationships/hyperlink" Target="https://content.xap.com/media/19269/cic_high_school_academic_planning_lesson_8.pdf" TargetMode="External"/><Relationship Id="rId36" Type="http://schemas.openxmlformats.org/officeDocument/2006/relationships/hyperlink" Target="https://content.xap.com/media/19226/cic_financial_aid_planning_lesson_6.pdf" TargetMode="External"/><Relationship Id="rId49" Type="http://schemas.openxmlformats.org/officeDocument/2006/relationships/hyperlink" Target="https://content.xap.com/media/19302/cic_job_search__lesson_9.pdf" TargetMode="External"/><Relationship Id="rId57" Type="http://schemas.openxmlformats.org/officeDocument/2006/relationships/hyperlink" Target="https://content.xap.com/media/19326/cic_lifelong_portfolio_lesson_7.pdf" TargetMode="External"/><Relationship Id="rId10" Type="http://schemas.openxmlformats.org/officeDocument/2006/relationships/hyperlink" Target="https://content.xap.com/media/19462/lesson_10_ce.pdf" TargetMode="External"/><Relationship Id="rId31" Type="http://schemas.openxmlformats.org/officeDocument/2006/relationships/hyperlink" Target="https://content.xap.com/media/19211/cic_financial_aid_planning_lesson_1.pdf" TargetMode="External"/><Relationship Id="rId44" Type="http://schemas.openxmlformats.org/officeDocument/2006/relationships/hyperlink" Target="https://content.xap.com/media/19287/cic_job_search_lesson_4.pdf" TargetMode="External"/><Relationship Id="rId52" Type="http://schemas.openxmlformats.org/officeDocument/2006/relationships/hyperlink" Target="https://content.xap.com/media/19311/cic_lifelong_portfolio_lesson_2.pdf" TargetMode="External"/><Relationship Id="rId60" Type="http://schemas.openxmlformats.org/officeDocument/2006/relationships/hyperlink" Target="https://content.xap.com/media/19335/cic_lifelong_portfolio_lesson_10.pdf" TargetMode="External"/><Relationship Id="rId65" Type="http://schemas.openxmlformats.org/officeDocument/2006/relationships/hyperlink" Target="https://content.xap.com/media/19384/cic_tpg_worksheet_03.pdf" TargetMode="External"/><Relationship Id="rId73" Type="http://schemas.openxmlformats.org/officeDocument/2006/relationships/hyperlink" Target="https://content.xap.com/media/19408/cic_tpg_worksheet_11.pdf" TargetMode="External"/><Relationship Id="rId78" Type="http://schemas.openxmlformats.org/officeDocument/2006/relationships/printerSettings" Target="../printerSettings/printerSettings26.bin"/><Relationship Id="rId4" Type="http://schemas.openxmlformats.org/officeDocument/2006/relationships/hyperlink" Target="https://content.xap.com/media/19444/lesson_4_ce.pdf" TargetMode="External"/><Relationship Id="rId9" Type="http://schemas.openxmlformats.org/officeDocument/2006/relationships/hyperlink" Target="https://content.xap.com/media/19459/lesson_9_ce.pdf" TargetMode="External"/><Relationship Id="rId13" Type="http://schemas.openxmlformats.org/officeDocument/2006/relationships/hyperlink" Target="https://content.xap.com/media/19344/cic_postsecondary_planning_lesson_3.pdf" TargetMode="External"/><Relationship Id="rId18" Type="http://schemas.openxmlformats.org/officeDocument/2006/relationships/hyperlink" Target="https://content.xap.com/media/19359/cic_postsecondary_planning_lesson_8.pdf" TargetMode="External"/><Relationship Id="rId39" Type="http://schemas.openxmlformats.org/officeDocument/2006/relationships/hyperlink" Target="https://content.xap.com/media/19235/cic_financial_aid_planning_lesson_9.pdf" TargetMode="External"/><Relationship Id="rId34" Type="http://schemas.openxmlformats.org/officeDocument/2006/relationships/hyperlink" Target="https://content.xap.com/media/19220/cic_financial_aid_planning_lesson_4.pdf" TargetMode="External"/><Relationship Id="rId50" Type="http://schemas.openxmlformats.org/officeDocument/2006/relationships/hyperlink" Target="https://content.xap.com/media/19305/cic_job_search_lesson_10.pdf" TargetMode="External"/><Relationship Id="rId55" Type="http://schemas.openxmlformats.org/officeDocument/2006/relationships/hyperlink" Target="https://content.xap.com/media/19320/cic_lifelong_portfolio_lesson_5.pdf" TargetMode="External"/><Relationship Id="rId76" Type="http://schemas.openxmlformats.org/officeDocument/2006/relationships/hyperlink" Target="https://content.xap.com/media/19417/cic_tpg_worksheet_14.pdf" TargetMode="External"/><Relationship Id="rId7" Type="http://schemas.openxmlformats.org/officeDocument/2006/relationships/hyperlink" Target="https://content.xap.com/media/19453/lesson_7_ce.pdf" TargetMode="External"/><Relationship Id="rId71" Type="http://schemas.openxmlformats.org/officeDocument/2006/relationships/hyperlink" Target="https://content.xap.com/media/19402/cic_tpg_worksheet_09.pdf" TargetMode="External"/><Relationship Id="rId2" Type="http://schemas.openxmlformats.org/officeDocument/2006/relationships/hyperlink" Target="https://content.xap.com/media/19438/lesson_2_ce.pdf" TargetMode="External"/><Relationship Id="rId29" Type="http://schemas.openxmlformats.org/officeDocument/2006/relationships/hyperlink" Target="https://content.xap.com/media/19272/cic_high_school_academic_planning_lesson_9.pdf"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30.bin"/><Relationship Id="rId1" Type="http://schemas.openxmlformats.org/officeDocument/2006/relationships/hyperlink" Target="https://www.cde.state.co.us/cdechart/csact_part5"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32.bin"/><Relationship Id="rId5" Type="http://schemas.openxmlformats.org/officeDocument/2006/relationships/image" Target="../media/image3.emf"/><Relationship Id="rId4" Type="http://schemas.openxmlformats.org/officeDocument/2006/relationships/oleObject" Target="../embeddings/Microsoft_Word_97_-_2003_Document1.doc"/></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110" zoomScaleNormal="110" workbookViewId="0">
      <selection activeCell="H24" sqref="H24"/>
    </sheetView>
  </sheetViews>
  <sheetFormatPr defaultColWidth="9" defaultRowHeight="15"/>
  <cols>
    <col min="1" max="1" width="19.625" style="690" customWidth="1"/>
    <col min="2" max="23" width="6" style="690" customWidth="1"/>
    <col min="24" max="16384" width="9" style="690"/>
  </cols>
  <sheetData>
    <row r="1" spans="1:23">
      <c r="B1" s="1419" t="s">
        <v>664</v>
      </c>
      <c r="C1" s="1419"/>
      <c r="D1" s="1419"/>
      <c r="E1" s="1419"/>
      <c r="F1" s="1419"/>
      <c r="G1" s="1419"/>
      <c r="H1" s="1419"/>
      <c r="I1" s="1419"/>
      <c r="J1" s="1419"/>
      <c r="K1" s="1419"/>
      <c r="L1" s="1419" t="s">
        <v>665</v>
      </c>
      <c r="M1" s="1419"/>
      <c r="N1" s="1419"/>
      <c r="O1" s="1419"/>
      <c r="P1" s="1419"/>
      <c r="Q1" s="1419"/>
      <c r="R1" s="1419"/>
      <c r="S1" s="1419"/>
      <c r="T1" s="1419"/>
      <c r="U1" s="1419"/>
      <c r="V1" s="1419"/>
      <c r="W1" s="1419"/>
    </row>
    <row r="2" spans="1:23">
      <c r="B2" s="691" t="s">
        <v>666</v>
      </c>
      <c r="C2" s="691" t="s">
        <v>69</v>
      </c>
      <c r="D2" s="691" t="s">
        <v>70</v>
      </c>
      <c r="E2" s="691" t="s">
        <v>71</v>
      </c>
      <c r="F2" s="691" t="s">
        <v>72</v>
      </c>
      <c r="G2" s="691" t="s">
        <v>73</v>
      </c>
      <c r="H2" s="692" t="s">
        <v>74</v>
      </c>
      <c r="I2" s="692" t="s">
        <v>75</v>
      </c>
      <c r="J2" s="692" t="s">
        <v>76</v>
      </c>
      <c r="K2" s="692" t="s">
        <v>77</v>
      </c>
      <c r="L2" s="691" t="s">
        <v>65</v>
      </c>
      <c r="M2" s="691" t="s">
        <v>67</v>
      </c>
      <c r="N2" s="691" t="s">
        <v>68</v>
      </c>
      <c r="O2" s="691" t="s">
        <v>69</v>
      </c>
      <c r="P2" s="691" t="s">
        <v>70</v>
      </c>
      <c r="Q2" s="691" t="s">
        <v>71</v>
      </c>
      <c r="R2" s="691" t="s">
        <v>72</v>
      </c>
      <c r="S2" s="691" t="s">
        <v>73</v>
      </c>
      <c r="T2" s="691" t="s">
        <v>74</v>
      </c>
      <c r="U2" s="691" t="s">
        <v>75</v>
      </c>
      <c r="V2" s="691" t="s">
        <v>76</v>
      </c>
      <c r="W2" s="691" t="s">
        <v>77</v>
      </c>
    </row>
    <row r="3" spans="1:23" ht="19.5" thickBot="1">
      <c r="A3" s="693" t="s">
        <v>667</v>
      </c>
      <c r="B3" s="691"/>
      <c r="C3" s="691"/>
      <c r="D3" s="691"/>
      <c r="E3" s="691"/>
      <c r="F3" s="691"/>
      <c r="G3" s="691"/>
      <c r="H3" s="692"/>
      <c r="I3" s="692"/>
      <c r="J3" s="692"/>
      <c r="K3" s="692"/>
      <c r="L3" s="691"/>
      <c r="M3" s="691"/>
      <c r="N3" s="691"/>
      <c r="O3" s="691"/>
      <c r="P3" s="691"/>
      <c r="Q3" s="691"/>
      <c r="R3" s="691"/>
      <c r="S3" s="691"/>
      <c r="T3" s="691"/>
      <c r="U3" s="691"/>
      <c r="V3" s="691"/>
      <c r="W3" s="691"/>
    </row>
    <row r="4" spans="1:23" ht="31.5" thickTop="1" thickBot="1">
      <c r="A4" s="694" t="s">
        <v>668</v>
      </c>
      <c r="B4" s="1420" t="s">
        <v>669</v>
      </c>
      <c r="C4" s="1421"/>
      <c r="D4" s="1421"/>
      <c r="E4" s="1421"/>
      <c r="F4" s="1421"/>
      <c r="G4" s="1421"/>
      <c r="H4" s="1421"/>
      <c r="I4" s="1421"/>
      <c r="J4" s="1421"/>
      <c r="K4" s="1421"/>
      <c r="L4" s="1422" t="s">
        <v>1394</v>
      </c>
      <c r="M4" s="1422"/>
      <c r="N4" s="1422"/>
      <c r="O4" s="1422"/>
      <c r="P4" s="1422"/>
      <c r="Q4" s="1422"/>
      <c r="R4" s="1423" t="s">
        <v>1393</v>
      </c>
      <c r="S4" s="1423"/>
      <c r="T4" s="1423"/>
      <c r="U4" s="1423"/>
      <c r="V4" s="1423"/>
      <c r="W4" s="1423"/>
    </row>
    <row r="5" spans="1:23" ht="16.5" thickTop="1" thickBot="1">
      <c r="B5" s="1416" t="s">
        <v>671</v>
      </c>
      <c r="C5" s="1417"/>
      <c r="D5" s="1417"/>
      <c r="E5" s="1417"/>
      <c r="F5" s="1417"/>
      <c r="G5" s="1417"/>
      <c r="H5" s="1417"/>
      <c r="I5" s="1417"/>
      <c r="J5" s="1417"/>
      <c r="K5" s="1418"/>
      <c r="L5" s="1416" t="s">
        <v>1392</v>
      </c>
      <c r="M5" s="1417"/>
      <c r="N5" s="1417"/>
      <c r="O5" s="1417"/>
      <c r="P5" s="1417"/>
      <c r="Q5" s="1417"/>
      <c r="R5" s="1417"/>
      <c r="S5" s="1417"/>
      <c r="T5" s="1417"/>
      <c r="U5" s="1417"/>
      <c r="V5" s="1417"/>
      <c r="W5" s="1418"/>
    </row>
    <row r="6" spans="1:23" ht="12" customHeight="1" thickBot="1">
      <c r="B6" s="695"/>
      <c r="C6" s="695"/>
      <c r="D6" s="695"/>
      <c r="E6" s="695"/>
      <c r="F6" s="695"/>
      <c r="G6" s="695"/>
      <c r="H6" s="695"/>
      <c r="I6" s="695"/>
      <c r="J6" s="695"/>
      <c r="K6" s="695"/>
      <c r="L6" s="695"/>
      <c r="M6" s="695"/>
      <c r="N6" s="695"/>
      <c r="O6" s="695"/>
      <c r="P6" s="695"/>
      <c r="Q6" s="695"/>
      <c r="R6" s="695"/>
      <c r="S6" s="695"/>
      <c r="T6" s="695"/>
      <c r="U6" s="695"/>
      <c r="V6" s="695"/>
      <c r="W6" s="695"/>
    </row>
    <row r="7" spans="1:23" ht="40.5" customHeight="1" thickTop="1" thickBot="1">
      <c r="A7" s="696" t="s">
        <v>673</v>
      </c>
      <c r="C7" s="1426" t="s">
        <v>674</v>
      </c>
      <c r="D7" s="1427"/>
      <c r="E7" s="1428" t="s">
        <v>675</v>
      </c>
      <c r="F7" s="1426"/>
      <c r="G7" s="1428" t="s">
        <v>1391</v>
      </c>
      <c r="H7" s="1428"/>
      <c r="I7" s="1428"/>
      <c r="J7" s="1429" t="s">
        <v>1390</v>
      </c>
      <c r="K7" s="1429"/>
      <c r="L7" s="1430" t="s">
        <v>1389</v>
      </c>
      <c r="M7" s="1431"/>
      <c r="N7" s="1431"/>
      <c r="O7" s="1431" t="s">
        <v>679</v>
      </c>
      <c r="P7" s="1431"/>
      <c r="Q7" s="1431"/>
      <c r="R7" s="1424" t="s">
        <v>680</v>
      </c>
      <c r="S7" s="1424"/>
      <c r="T7" s="1424"/>
      <c r="U7" s="1424"/>
      <c r="V7" s="1424"/>
      <c r="W7" s="1424"/>
    </row>
    <row r="8" spans="1:23" ht="16.5" thickTop="1" thickBot="1">
      <c r="B8" s="691"/>
      <c r="C8" s="691"/>
      <c r="D8" s="691"/>
      <c r="E8" s="691"/>
      <c r="F8" s="691"/>
      <c r="G8" s="691"/>
      <c r="H8" s="691"/>
      <c r="I8" s="691"/>
      <c r="J8" s="691"/>
      <c r="K8" s="691"/>
      <c r="L8" s="691"/>
      <c r="M8" s="691"/>
      <c r="N8" s="691"/>
      <c r="O8" s="691"/>
      <c r="P8" s="691"/>
      <c r="Q8" s="691"/>
      <c r="R8" s="691"/>
      <c r="S8" s="691"/>
      <c r="T8" s="691"/>
      <c r="U8" s="691"/>
      <c r="V8" s="691"/>
      <c r="W8" s="691"/>
    </row>
    <row r="9" spans="1:23" s="700" customFormat="1" ht="30.75" customHeight="1" thickTop="1" thickBot="1">
      <c r="A9" s="697" t="s">
        <v>681</v>
      </c>
      <c r="B9" s="698"/>
      <c r="C9" s="699"/>
      <c r="D9" s="1425" t="s">
        <v>682</v>
      </c>
      <c r="E9" s="1425"/>
      <c r="F9" s="1425" t="s">
        <v>683</v>
      </c>
      <c r="G9" s="1425"/>
      <c r="H9" s="1425" t="s">
        <v>684</v>
      </c>
      <c r="I9" s="1425"/>
      <c r="J9" s="1425"/>
      <c r="K9" s="1425"/>
      <c r="L9" s="1425" t="s">
        <v>685</v>
      </c>
      <c r="M9" s="1425"/>
      <c r="N9" s="1425"/>
      <c r="O9" s="1425"/>
      <c r="P9" s="1425" t="s">
        <v>686</v>
      </c>
      <c r="Q9" s="1425"/>
      <c r="R9" s="1425" t="s">
        <v>687</v>
      </c>
      <c r="S9" s="1425"/>
      <c r="T9" s="1425"/>
      <c r="U9" s="1425"/>
      <c r="V9" s="1425"/>
      <c r="W9" s="1425"/>
    </row>
    <row r="10" spans="1:23" ht="16.5" thickTop="1" thickBot="1">
      <c r="B10" s="691"/>
      <c r="C10" s="691"/>
      <c r="D10" s="691"/>
      <c r="E10" s="691"/>
      <c r="F10" s="691"/>
      <c r="G10" s="691"/>
      <c r="H10" s="691"/>
      <c r="I10" s="691"/>
      <c r="J10" s="691"/>
      <c r="K10" s="691"/>
      <c r="L10" s="691"/>
      <c r="M10" s="691"/>
      <c r="N10" s="691"/>
      <c r="O10" s="691"/>
      <c r="P10" s="691"/>
      <c r="Q10" s="691"/>
      <c r="R10" s="691"/>
      <c r="S10" s="691"/>
      <c r="T10" s="691"/>
      <c r="U10" s="691"/>
      <c r="V10" s="691"/>
      <c r="W10" s="691"/>
    </row>
    <row r="11" spans="1:23" ht="44.25" customHeight="1" thickTop="1" thickBot="1">
      <c r="A11" s="701" t="s">
        <v>688</v>
      </c>
      <c r="B11" s="702" t="s">
        <v>689</v>
      </c>
      <c r="C11" s="1433" t="s">
        <v>1388</v>
      </c>
      <c r="D11" s="1433"/>
      <c r="E11" s="1433"/>
      <c r="F11" s="1433"/>
      <c r="G11" s="1433"/>
      <c r="H11" s="1433"/>
      <c r="I11" s="1433"/>
      <c r="J11" s="1433"/>
      <c r="K11" s="1434"/>
      <c r="L11" s="1435" t="s">
        <v>691</v>
      </c>
      <c r="M11" s="1433"/>
      <c r="N11" s="1433"/>
      <c r="O11" s="1433"/>
      <c r="P11" s="1433"/>
      <c r="Q11" s="1434"/>
      <c r="R11" s="1435" t="s">
        <v>692</v>
      </c>
      <c r="S11" s="1433"/>
      <c r="T11" s="1433"/>
      <c r="U11" s="1433"/>
      <c r="V11" s="1433"/>
      <c r="W11" s="1434"/>
    </row>
    <row r="12" spans="1:23" ht="16.5" thickTop="1" thickBot="1">
      <c r="B12" s="691"/>
      <c r="C12" s="691"/>
      <c r="D12" s="691"/>
      <c r="E12" s="691"/>
      <c r="F12" s="691"/>
      <c r="G12" s="691"/>
      <c r="H12" s="691"/>
      <c r="I12" s="691"/>
      <c r="J12" s="691"/>
      <c r="K12" s="691"/>
      <c r="L12" s="691"/>
      <c r="M12" s="691"/>
      <c r="N12" s="691"/>
      <c r="O12" s="691"/>
      <c r="P12" s="691"/>
      <c r="Q12" s="691"/>
      <c r="R12" s="691"/>
      <c r="S12" s="691"/>
      <c r="T12" s="691"/>
      <c r="U12" s="691"/>
      <c r="V12" s="691"/>
      <c r="W12" s="691"/>
    </row>
    <row r="13" spans="1:23" ht="30.75" customHeight="1" thickTop="1" thickBot="1">
      <c r="A13" s="703" t="s">
        <v>693</v>
      </c>
      <c r="B13" s="691"/>
      <c r="C13" s="691"/>
      <c r="D13" s="691"/>
      <c r="E13" s="691"/>
      <c r="F13" s="691"/>
      <c r="G13" s="691"/>
      <c r="H13" s="691"/>
      <c r="I13" s="691"/>
      <c r="J13" s="691"/>
      <c r="K13" s="691"/>
      <c r="L13" s="1436" t="s">
        <v>674</v>
      </c>
      <c r="M13" s="1437"/>
      <c r="N13" s="1438"/>
      <c r="O13" s="1439" t="s">
        <v>694</v>
      </c>
      <c r="P13" s="1440"/>
      <c r="Q13" s="1440"/>
      <c r="R13" s="1440"/>
      <c r="S13" s="1440"/>
      <c r="T13" s="704"/>
      <c r="U13" s="1439" t="s">
        <v>695</v>
      </c>
      <c r="V13" s="1440"/>
      <c r="W13" s="1441"/>
    </row>
    <row r="14" spans="1:23" ht="15.75" thickTop="1">
      <c r="B14" s="691"/>
      <c r="C14" s="691"/>
      <c r="D14" s="691"/>
      <c r="E14" s="691"/>
      <c r="F14" s="691"/>
      <c r="G14" s="691"/>
      <c r="H14" s="691"/>
      <c r="I14" s="691"/>
      <c r="J14" s="691"/>
      <c r="K14" s="691"/>
      <c r="L14" s="691"/>
      <c r="M14" s="691"/>
      <c r="N14" s="691"/>
      <c r="O14" s="691"/>
      <c r="P14" s="691"/>
      <c r="Q14" s="691"/>
      <c r="R14" s="691"/>
      <c r="S14" s="691"/>
      <c r="T14" s="691"/>
      <c r="U14" s="691"/>
      <c r="V14" s="691"/>
      <c r="W14" s="691"/>
    </row>
    <row r="15" spans="1:23" ht="15.75" thickBot="1">
      <c r="B15" s="691"/>
      <c r="C15" s="691"/>
      <c r="D15" s="691"/>
      <c r="E15" s="691"/>
      <c r="F15" s="691"/>
      <c r="G15" s="691"/>
      <c r="H15" s="691"/>
      <c r="I15" s="691"/>
      <c r="J15" s="691"/>
      <c r="K15" s="691"/>
      <c r="L15" s="691"/>
      <c r="M15" s="691"/>
      <c r="N15" s="691"/>
      <c r="O15" s="691"/>
      <c r="P15" s="691"/>
      <c r="Q15" s="691"/>
      <c r="R15" s="691"/>
      <c r="S15" s="691"/>
      <c r="T15" s="691"/>
      <c r="U15" s="691"/>
      <c r="V15" s="691"/>
      <c r="W15" s="691"/>
    </row>
    <row r="16" spans="1:23" ht="15.75" thickBot="1">
      <c r="B16" s="691"/>
      <c r="C16" s="705"/>
      <c r="D16" s="1432" t="s">
        <v>73</v>
      </c>
      <c r="E16" s="1432"/>
      <c r="F16" s="1432" t="s">
        <v>1387</v>
      </c>
      <c r="G16" s="1432"/>
      <c r="H16" s="1432" t="s">
        <v>1386</v>
      </c>
      <c r="I16" s="1432"/>
      <c r="J16" s="1432" t="s">
        <v>1385</v>
      </c>
      <c r="K16" s="1432"/>
      <c r="L16" s="1432" t="s">
        <v>1384</v>
      </c>
      <c r="M16" s="1432"/>
      <c r="N16" s="1432" t="s">
        <v>76</v>
      </c>
      <c r="O16" s="1432"/>
      <c r="P16" s="706" t="s">
        <v>1383</v>
      </c>
      <c r="Q16" s="707"/>
      <c r="R16" s="691"/>
      <c r="S16" s="691"/>
      <c r="T16" s="691"/>
      <c r="U16" s="691"/>
      <c r="V16" s="691"/>
      <c r="W16" s="691"/>
    </row>
    <row r="17" spans="1:23" ht="45.75" customHeight="1" thickBot="1">
      <c r="B17" s="691"/>
      <c r="C17" s="705"/>
      <c r="D17" s="1442" t="s">
        <v>1382</v>
      </c>
      <c r="E17" s="1442"/>
      <c r="F17" s="1442" t="s">
        <v>1381</v>
      </c>
      <c r="G17" s="1442"/>
      <c r="H17" s="1442" t="s">
        <v>1380</v>
      </c>
      <c r="I17" s="1442"/>
      <c r="J17" s="1442"/>
      <c r="K17" s="1442"/>
      <c r="L17" s="1443"/>
      <c r="M17" s="1443"/>
      <c r="N17" s="1442"/>
      <c r="O17" s="1442"/>
      <c r="P17" s="1461" t="s">
        <v>1379</v>
      </c>
      <c r="Q17" s="707"/>
      <c r="R17" s="691"/>
      <c r="S17" s="691"/>
      <c r="T17" s="691"/>
      <c r="U17" s="691"/>
      <c r="V17" s="691"/>
      <c r="W17" s="691"/>
    </row>
    <row r="18" spans="1:23" ht="27.75" customHeight="1" thickBot="1">
      <c r="B18" s="691"/>
      <c r="C18" s="705"/>
      <c r="D18" s="708"/>
      <c r="E18" s="709"/>
      <c r="F18" s="1462" t="s">
        <v>1378</v>
      </c>
      <c r="G18" s="1462"/>
      <c r="H18" s="1443" t="s">
        <v>1377</v>
      </c>
      <c r="I18" s="1443"/>
      <c r="J18" s="1463" t="s">
        <v>1376</v>
      </c>
      <c r="K18" s="1464"/>
      <c r="L18" s="1465" t="s">
        <v>1375</v>
      </c>
      <c r="M18" s="1466"/>
      <c r="N18" s="1463" t="s">
        <v>1374</v>
      </c>
      <c r="O18" s="1464"/>
      <c r="P18" s="1461"/>
      <c r="Q18" s="707"/>
      <c r="R18" s="691"/>
      <c r="S18" s="691"/>
      <c r="T18" s="691"/>
      <c r="U18" s="691"/>
      <c r="V18" s="691"/>
      <c r="W18" s="691"/>
    </row>
    <row r="19" spans="1:23">
      <c r="B19" s="691"/>
      <c r="C19" s="705"/>
      <c r="D19" s="1447" t="s">
        <v>1373</v>
      </c>
      <c r="E19" s="1447"/>
      <c r="F19" s="1447" t="s">
        <v>1372</v>
      </c>
      <c r="G19" s="1447"/>
      <c r="H19" s="1447"/>
      <c r="I19" s="1447"/>
      <c r="J19" s="1447"/>
      <c r="K19" s="1447"/>
      <c r="L19" s="1447"/>
      <c r="M19" s="1447"/>
      <c r="N19" s="1448" t="s">
        <v>1371</v>
      </c>
      <c r="O19" s="1448"/>
      <c r="P19" s="1461"/>
      <c r="Q19" s="707"/>
      <c r="R19" s="691"/>
      <c r="S19" s="691"/>
      <c r="T19" s="691"/>
      <c r="U19" s="691"/>
      <c r="V19" s="691"/>
      <c r="W19" s="691"/>
    </row>
    <row r="20" spans="1:23">
      <c r="B20" s="691"/>
      <c r="C20" s="691"/>
      <c r="D20" s="1449" t="s">
        <v>1370</v>
      </c>
      <c r="E20" s="1450"/>
      <c r="F20" s="1450"/>
      <c r="G20" s="1450"/>
      <c r="H20" s="1450"/>
      <c r="I20" s="1450"/>
      <c r="J20" s="1450"/>
      <c r="K20" s="1450"/>
      <c r="L20" s="1450"/>
      <c r="M20" s="1450"/>
      <c r="N20" s="1450"/>
      <c r="O20" s="1450"/>
      <c r="P20" s="1451"/>
      <c r="Q20" s="691"/>
      <c r="R20" s="691"/>
      <c r="S20" s="691"/>
      <c r="T20" s="691"/>
      <c r="U20" s="691"/>
      <c r="V20" s="691"/>
      <c r="W20" s="691"/>
    </row>
    <row r="21" spans="1:23">
      <c r="B21" s="691"/>
      <c r="C21" s="691"/>
      <c r="D21" s="691"/>
      <c r="E21" s="691"/>
      <c r="F21" s="691"/>
      <c r="G21" s="691"/>
      <c r="H21" s="691"/>
      <c r="I21" s="691"/>
      <c r="J21" s="691"/>
      <c r="K21" s="691"/>
      <c r="L21" s="691"/>
      <c r="M21" s="691"/>
      <c r="N21" s="691"/>
      <c r="O21" s="691"/>
      <c r="P21" s="691"/>
      <c r="Q21" s="691"/>
      <c r="R21" s="691"/>
      <c r="S21" s="691"/>
      <c r="T21" s="691"/>
      <c r="U21" s="691"/>
      <c r="V21" s="691"/>
      <c r="W21" s="691"/>
    </row>
    <row r="22" spans="1:23">
      <c r="B22" s="691"/>
      <c r="C22" s="691"/>
      <c r="D22" s="691"/>
      <c r="E22" s="691"/>
      <c r="F22" s="691"/>
      <c r="G22" s="691"/>
      <c r="H22" s="691"/>
      <c r="I22" s="691"/>
      <c r="J22" s="691"/>
      <c r="K22" s="691"/>
      <c r="L22" s="691"/>
      <c r="M22" s="691"/>
      <c r="N22" s="691"/>
      <c r="O22" s="691"/>
      <c r="P22" s="691"/>
      <c r="Q22" s="691"/>
      <c r="R22" s="691"/>
      <c r="S22" s="691"/>
      <c r="T22" s="691"/>
      <c r="U22" s="691"/>
      <c r="V22" s="691"/>
      <c r="W22" s="691"/>
    </row>
    <row r="23" spans="1:23" ht="9" customHeight="1">
      <c r="A23" s="710"/>
      <c r="B23" s="710"/>
      <c r="C23" s="710"/>
      <c r="D23" s="710"/>
      <c r="E23" s="710"/>
      <c r="F23" s="710"/>
      <c r="G23" s="710"/>
      <c r="H23" s="710"/>
      <c r="I23" s="710"/>
      <c r="J23" s="710"/>
      <c r="K23" s="710"/>
      <c r="L23" s="710"/>
      <c r="M23" s="710"/>
      <c r="N23" s="710"/>
      <c r="O23" s="710"/>
      <c r="P23" s="710"/>
      <c r="Q23" s="710"/>
      <c r="R23" s="710"/>
      <c r="S23" s="710"/>
      <c r="T23" s="710"/>
      <c r="U23" s="710"/>
      <c r="V23" s="710"/>
      <c r="W23" s="710"/>
    </row>
    <row r="24" spans="1:23">
      <c r="B24" s="691"/>
      <c r="C24" s="691"/>
      <c r="D24" s="691"/>
      <c r="E24" s="691"/>
      <c r="F24" s="691"/>
      <c r="G24" s="691"/>
      <c r="H24" s="691"/>
      <c r="I24" s="691"/>
      <c r="J24" s="691"/>
      <c r="K24" s="691"/>
      <c r="L24" s="691"/>
      <c r="M24" s="691"/>
      <c r="N24" s="691"/>
      <c r="O24" s="691"/>
      <c r="P24" s="691"/>
      <c r="Q24" s="691"/>
      <c r="R24" s="691"/>
      <c r="S24" s="691"/>
      <c r="T24" s="691"/>
      <c r="U24" s="691"/>
      <c r="V24" s="691"/>
      <c r="W24" s="691"/>
    </row>
    <row r="25" spans="1:23" ht="19.5" thickBot="1">
      <c r="A25" s="693" t="s">
        <v>696</v>
      </c>
      <c r="B25" s="691"/>
      <c r="C25" s="691"/>
      <c r="D25" s="691"/>
      <c r="E25" s="691"/>
      <c r="F25" s="691"/>
      <c r="G25" s="691"/>
      <c r="H25" s="691"/>
      <c r="I25" s="691"/>
      <c r="J25" s="691"/>
      <c r="K25" s="691"/>
      <c r="L25" s="691"/>
      <c r="M25" s="691"/>
      <c r="N25" s="691"/>
      <c r="O25" s="691"/>
      <c r="P25" s="691"/>
      <c r="Q25" s="691"/>
      <c r="R25" s="691"/>
      <c r="S25" s="691"/>
      <c r="T25" s="691"/>
      <c r="U25" s="691"/>
      <c r="V25" s="691"/>
      <c r="W25" s="691"/>
    </row>
    <row r="26" spans="1:23" ht="31.5" thickTop="1" thickBot="1">
      <c r="A26" s="711" t="s">
        <v>668</v>
      </c>
      <c r="B26" s="1452" t="s">
        <v>669</v>
      </c>
      <c r="C26" s="1453"/>
      <c r="D26" s="1453"/>
      <c r="E26" s="1453"/>
      <c r="F26" s="1453"/>
      <c r="G26" s="1453"/>
      <c r="H26" s="1453"/>
      <c r="I26" s="1453"/>
      <c r="J26" s="1453"/>
      <c r="K26" s="1453"/>
      <c r="L26" s="1453"/>
      <c r="M26" s="1453"/>
      <c r="N26" s="1453"/>
      <c r="O26" s="1453"/>
      <c r="P26" s="1453"/>
      <c r="Q26" s="1454"/>
      <c r="R26" s="707"/>
      <c r="S26" s="691"/>
      <c r="T26" s="691"/>
      <c r="U26" s="691"/>
      <c r="V26" s="691"/>
      <c r="W26" s="691"/>
    </row>
    <row r="27" spans="1:23" ht="16.5" thickTop="1" thickBot="1">
      <c r="B27" s="691"/>
      <c r="C27" s="691"/>
      <c r="D27" s="691"/>
      <c r="E27" s="691"/>
      <c r="F27" s="691"/>
      <c r="G27" s="691"/>
      <c r="H27" s="691"/>
      <c r="I27" s="691"/>
      <c r="J27" s="691"/>
      <c r="K27" s="691"/>
      <c r="L27" s="691"/>
      <c r="M27" s="691"/>
      <c r="N27" s="691"/>
      <c r="O27" s="691"/>
      <c r="P27" s="691"/>
      <c r="Q27" s="691"/>
      <c r="R27" s="691"/>
      <c r="S27" s="691"/>
      <c r="T27" s="691"/>
      <c r="U27" s="691"/>
      <c r="V27" s="691"/>
      <c r="W27" s="691"/>
    </row>
    <row r="28" spans="1:23" ht="45" customHeight="1" thickBot="1">
      <c r="A28" s="712" t="s">
        <v>697</v>
      </c>
      <c r="B28" s="713"/>
      <c r="C28" s="691"/>
      <c r="D28" s="691"/>
      <c r="E28" s="691"/>
      <c r="F28" s="691"/>
      <c r="G28" s="691"/>
      <c r="H28" s="691"/>
      <c r="I28" s="705"/>
      <c r="J28" s="714"/>
      <c r="K28" s="1455" t="s">
        <v>698</v>
      </c>
      <c r="L28" s="1455"/>
      <c r="M28" s="1456" t="s">
        <v>699</v>
      </c>
      <c r="N28" s="1457"/>
      <c r="O28" s="1458"/>
      <c r="P28" s="1459" t="s">
        <v>1369</v>
      </c>
      <c r="Q28" s="1460"/>
      <c r="R28" s="715"/>
      <c r="S28" s="707"/>
      <c r="T28" s="691"/>
      <c r="U28" s="691"/>
      <c r="V28" s="691"/>
      <c r="W28" s="691"/>
    </row>
    <row r="29" spans="1:23" ht="15.75" thickBot="1">
      <c r="B29" s="716"/>
      <c r="C29" s="691"/>
      <c r="D29" s="691"/>
      <c r="E29" s="691"/>
      <c r="F29" s="691"/>
      <c r="G29" s="691"/>
      <c r="H29" s="691"/>
      <c r="I29" s="691"/>
      <c r="J29" s="707"/>
      <c r="K29" s="691"/>
      <c r="L29" s="691"/>
      <c r="M29" s="691"/>
      <c r="N29" s="691"/>
      <c r="O29" s="691"/>
      <c r="P29" s="691"/>
      <c r="Q29" s="691"/>
      <c r="R29" s="691"/>
      <c r="S29" s="691"/>
      <c r="T29" s="691"/>
      <c r="U29" s="691"/>
      <c r="V29" s="691"/>
      <c r="W29" s="691"/>
    </row>
    <row r="30" spans="1:23" ht="30.75" customHeight="1" thickBot="1">
      <c r="A30" s="717" t="s">
        <v>701</v>
      </c>
      <c r="B30" s="716"/>
      <c r="C30" s="691"/>
      <c r="D30" s="691"/>
      <c r="E30" s="691"/>
      <c r="F30" s="691"/>
      <c r="G30" s="691"/>
      <c r="H30" s="691"/>
      <c r="I30" s="691"/>
      <c r="J30" s="718"/>
      <c r="K30" s="1444" t="s">
        <v>702</v>
      </c>
      <c r="L30" s="1445"/>
      <c r="M30" s="1445"/>
      <c r="N30" s="1445"/>
      <c r="O30" s="1445"/>
      <c r="P30" s="1445"/>
      <c r="Q30" s="1446"/>
      <c r="R30" s="719"/>
      <c r="S30" s="707"/>
      <c r="T30" s="691"/>
      <c r="U30" s="691"/>
      <c r="V30" s="691"/>
      <c r="W30" s="691"/>
    </row>
    <row r="31" spans="1:23">
      <c r="B31" s="691"/>
      <c r="C31" s="691"/>
      <c r="D31" s="691"/>
      <c r="E31" s="691"/>
      <c r="F31" s="691"/>
      <c r="G31" s="691"/>
      <c r="H31" s="691"/>
      <c r="I31" s="691"/>
      <c r="J31" s="691"/>
      <c r="K31" s="691"/>
      <c r="L31" s="691"/>
      <c r="M31" s="691"/>
      <c r="N31" s="691"/>
      <c r="O31" s="691"/>
      <c r="P31" s="691"/>
      <c r="Q31" s="691"/>
      <c r="R31" s="691"/>
      <c r="S31" s="691"/>
      <c r="T31" s="691"/>
      <c r="U31" s="691"/>
      <c r="V31" s="691"/>
      <c r="W31" s="691"/>
    </row>
    <row r="32" spans="1:23">
      <c r="B32" s="691"/>
      <c r="C32" s="691"/>
      <c r="D32" s="691"/>
      <c r="E32" s="691"/>
      <c r="F32" s="691"/>
      <c r="G32" s="691"/>
      <c r="H32" s="691"/>
      <c r="I32" s="691"/>
      <c r="J32" s="691"/>
      <c r="K32" s="691"/>
      <c r="L32" s="691"/>
      <c r="M32" s="691"/>
      <c r="N32" s="691"/>
      <c r="O32" s="691"/>
      <c r="P32" s="691"/>
      <c r="Q32" s="691"/>
      <c r="R32" s="691"/>
      <c r="S32" s="691"/>
      <c r="T32" s="691"/>
      <c r="U32" s="691"/>
      <c r="V32" s="691"/>
      <c r="W32" s="691"/>
    </row>
    <row r="33" spans="2:23">
      <c r="B33" s="691"/>
      <c r="C33" s="691"/>
      <c r="D33" s="691"/>
      <c r="E33" s="691"/>
      <c r="F33" s="691"/>
      <c r="G33" s="691"/>
      <c r="H33" s="691"/>
      <c r="I33" s="691"/>
      <c r="J33" s="691"/>
      <c r="K33" s="691"/>
      <c r="L33" s="691"/>
      <c r="M33" s="691"/>
      <c r="N33" s="691"/>
      <c r="O33" s="691"/>
      <c r="P33" s="691"/>
      <c r="Q33" s="691"/>
      <c r="R33" s="691"/>
      <c r="S33" s="691"/>
      <c r="T33" s="691"/>
      <c r="U33" s="691"/>
      <c r="V33" s="691"/>
      <c r="W33" s="691"/>
    </row>
    <row r="34" spans="2:23">
      <c r="B34" s="691"/>
      <c r="C34" s="691"/>
      <c r="D34" s="691"/>
      <c r="E34" s="691"/>
      <c r="F34" s="691"/>
      <c r="G34" s="691"/>
      <c r="H34" s="691"/>
      <c r="I34" s="691"/>
      <c r="J34" s="691"/>
      <c r="K34" s="691"/>
      <c r="L34" s="691"/>
      <c r="M34" s="691"/>
      <c r="N34" s="691"/>
      <c r="O34" s="691"/>
      <c r="P34" s="691"/>
      <c r="Q34" s="691"/>
      <c r="R34" s="691"/>
      <c r="S34" s="691"/>
      <c r="T34" s="691"/>
      <c r="U34" s="691"/>
      <c r="V34" s="691"/>
      <c r="W34" s="691"/>
    </row>
  </sheetData>
  <mergeCells count="53">
    <mergeCell ref="K30:Q30"/>
    <mergeCell ref="D19:E19"/>
    <mergeCell ref="F19:M19"/>
    <mergeCell ref="N19:O19"/>
    <mergeCell ref="D20:P20"/>
    <mergeCell ref="B26:Q26"/>
    <mergeCell ref="K28:L28"/>
    <mergeCell ref="M28:O28"/>
    <mergeCell ref="P28:Q28"/>
    <mergeCell ref="P17:P19"/>
    <mergeCell ref="F18:G18"/>
    <mergeCell ref="H18:I18"/>
    <mergeCell ref="J18:K18"/>
    <mergeCell ref="L18:M18"/>
    <mergeCell ref="N18:O18"/>
    <mergeCell ref="D17:E17"/>
    <mergeCell ref="F17:G17"/>
    <mergeCell ref="H17:I17"/>
    <mergeCell ref="J17:K17"/>
    <mergeCell ref="L17:M17"/>
    <mergeCell ref="N17:O17"/>
    <mergeCell ref="N16:O16"/>
    <mergeCell ref="C11:K11"/>
    <mergeCell ref="L11:Q11"/>
    <mergeCell ref="R11:W11"/>
    <mergeCell ref="L13:N13"/>
    <mergeCell ref="O13:S13"/>
    <mergeCell ref="U13:W13"/>
    <mergeCell ref="D16:E16"/>
    <mergeCell ref="F16:G16"/>
    <mergeCell ref="H16:I16"/>
    <mergeCell ref="J16:K16"/>
    <mergeCell ref="L16:M16"/>
    <mergeCell ref="R7:W7"/>
    <mergeCell ref="D9:E9"/>
    <mergeCell ref="F9:G9"/>
    <mergeCell ref="H9:K9"/>
    <mergeCell ref="L9:O9"/>
    <mergeCell ref="P9:Q9"/>
    <mergeCell ref="R9:W9"/>
    <mergeCell ref="C7:D7"/>
    <mergeCell ref="E7:F7"/>
    <mergeCell ref="G7:I7"/>
    <mergeCell ref="J7:K7"/>
    <mergeCell ref="L7:N7"/>
    <mergeCell ref="O7:Q7"/>
    <mergeCell ref="B5:K5"/>
    <mergeCell ref="L5:W5"/>
    <mergeCell ref="B1:K1"/>
    <mergeCell ref="L1:W1"/>
    <mergeCell ref="B4:K4"/>
    <mergeCell ref="L4:Q4"/>
    <mergeCell ref="R4:W4"/>
  </mergeCells>
  <pageMargins left="0.25" right="0.25" top="0.75" bottom="0.75" header="0.3" footer="0.3"/>
  <pageSetup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F1" zoomScale="85" zoomScaleNormal="85" workbookViewId="0">
      <selection activeCell="H31" sqref="H31"/>
    </sheetView>
  </sheetViews>
  <sheetFormatPr defaultColWidth="8.75" defaultRowHeight="15"/>
  <cols>
    <col min="1" max="4" width="3.25" style="469" hidden="1" customWidth="1"/>
    <col min="5" max="5" width="3.25" style="473" hidden="1" customWidth="1"/>
    <col min="6" max="6" width="14.5" style="469" customWidth="1"/>
    <col min="7" max="7" width="26.625" style="469" customWidth="1"/>
    <col min="8" max="8" width="35" style="469" customWidth="1"/>
    <col min="9" max="9" width="30.5" style="479" customWidth="1"/>
    <col min="10" max="10" width="12.375" style="469" customWidth="1"/>
    <col min="11" max="11" width="2.75" style="469" customWidth="1"/>
    <col min="12" max="12" width="17.75" style="469" customWidth="1"/>
    <col min="13" max="13" width="10.875" style="469" customWidth="1"/>
    <col min="14" max="16384" width="8.75" style="469"/>
  </cols>
  <sheetData>
    <row r="1" spans="1:12">
      <c r="A1" s="375">
        <v>43146</v>
      </c>
      <c r="B1" s="375">
        <v>43117</v>
      </c>
      <c r="C1" s="375">
        <v>43073</v>
      </c>
      <c r="D1" s="375">
        <v>43053</v>
      </c>
      <c r="E1" s="375">
        <v>43040</v>
      </c>
      <c r="F1" s="371" t="s">
        <v>706</v>
      </c>
      <c r="G1" s="371" t="s">
        <v>707</v>
      </c>
      <c r="H1" s="371" t="s">
        <v>1135</v>
      </c>
      <c r="I1" s="371" t="s">
        <v>708</v>
      </c>
      <c r="J1" s="371"/>
      <c r="K1" s="472"/>
      <c r="L1" s="372" t="s">
        <v>1552</v>
      </c>
    </row>
    <row r="2" spans="1:12">
      <c r="A2" s="479" t="s">
        <v>775</v>
      </c>
      <c r="F2" s="469" t="s">
        <v>709</v>
      </c>
      <c r="G2" s="469" t="s">
        <v>1119</v>
      </c>
      <c r="H2" s="482" t="s">
        <v>1141</v>
      </c>
      <c r="I2" s="474" t="s">
        <v>1120</v>
      </c>
      <c r="L2" s="469" t="s">
        <v>1132</v>
      </c>
    </row>
    <row r="3" spans="1:12">
      <c r="B3" s="469" t="s">
        <v>775</v>
      </c>
      <c r="C3" s="469" t="s">
        <v>775</v>
      </c>
      <c r="D3" s="479" t="s">
        <v>775</v>
      </c>
      <c r="E3" s="473" t="s">
        <v>775</v>
      </c>
      <c r="F3" s="469" t="s">
        <v>709</v>
      </c>
      <c r="G3" s="475" t="s">
        <v>713</v>
      </c>
      <c r="H3" s="482" t="s">
        <v>1142</v>
      </c>
      <c r="I3" s="373" t="s">
        <v>714</v>
      </c>
      <c r="L3" s="469" t="s">
        <v>1132</v>
      </c>
    </row>
    <row r="4" spans="1:12">
      <c r="B4" s="469" t="s">
        <v>775</v>
      </c>
      <c r="F4" s="469" t="s">
        <v>718</v>
      </c>
      <c r="G4" s="469" t="s">
        <v>719</v>
      </c>
      <c r="H4" s="481" t="s">
        <v>1146</v>
      </c>
      <c r="I4" s="373" t="s">
        <v>720</v>
      </c>
      <c r="L4" s="469" t="s">
        <v>1132</v>
      </c>
    </row>
    <row r="5" spans="1:12">
      <c r="A5" s="479" t="s">
        <v>775</v>
      </c>
      <c r="C5" s="469" t="s">
        <v>775</v>
      </c>
      <c r="F5" s="469" t="s">
        <v>727</v>
      </c>
      <c r="G5" s="475" t="s">
        <v>728</v>
      </c>
      <c r="H5" s="482" t="s">
        <v>1150</v>
      </c>
      <c r="I5" s="474" t="s">
        <v>729</v>
      </c>
      <c r="L5" s="469" t="s">
        <v>1132</v>
      </c>
    </row>
    <row r="6" spans="1:12">
      <c r="A6" s="479" t="s">
        <v>775</v>
      </c>
      <c r="B6" s="469" t="s">
        <v>775</v>
      </c>
      <c r="C6" s="469" t="s">
        <v>775</v>
      </c>
      <c r="D6" s="479" t="s">
        <v>775</v>
      </c>
      <c r="E6" s="473" t="s">
        <v>775</v>
      </c>
      <c r="F6" s="469" t="s">
        <v>750</v>
      </c>
      <c r="G6" s="475" t="s">
        <v>753</v>
      </c>
      <c r="H6" s="483" t="s">
        <v>1147</v>
      </c>
      <c r="I6" s="474" t="s">
        <v>754</v>
      </c>
      <c r="L6" s="469" t="s">
        <v>1136</v>
      </c>
    </row>
    <row r="7" spans="1:12">
      <c r="A7" s="479" t="s">
        <v>775</v>
      </c>
      <c r="F7" s="469" t="s">
        <v>1128</v>
      </c>
      <c r="G7" s="475" t="s">
        <v>1111</v>
      </c>
      <c r="H7" s="484" t="s">
        <v>1148</v>
      </c>
      <c r="I7" s="468" t="s">
        <v>1110</v>
      </c>
      <c r="L7" s="469" t="s">
        <v>1134</v>
      </c>
    </row>
    <row r="8" spans="1:12">
      <c r="A8" s="479" t="s">
        <v>775</v>
      </c>
      <c r="B8" s="469" t="s">
        <v>775</v>
      </c>
      <c r="F8" s="492" t="s">
        <v>732</v>
      </c>
      <c r="G8" s="475" t="s">
        <v>912</v>
      </c>
      <c r="H8" s="485" t="s">
        <v>1149</v>
      </c>
      <c r="I8" s="474" t="s">
        <v>1122</v>
      </c>
      <c r="L8" s="469" t="s">
        <v>1134</v>
      </c>
    </row>
    <row r="9" spans="1:12">
      <c r="A9" s="479" t="s">
        <v>775</v>
      </c>
      <c r="B9" s="469" t="s">
        <v>775</v>
      </c>
      <c r="F9" s="469" t="s">
        <v>913</v>
      </c>
      <c r="G9" s="475" t="s">
        <v>911</v>
      </c>
      <c r="H9" s="482" t="s">
        <v>1151</v>
      </c>
      <c r="I9" s="474" t="s">
        <v>1121</v>
      </c>
      <c r="L9" s="469" t="s">
        <v>1134</v>
      </c>
    </row>
    <row r="10" spans="1:12">
      <c r="B10" s="469" t="s">
        <v>775</v>
      </c>
      <c r="D10" s="479" t="s">
        <v>775</v>
      </c>
      <c r="E10" s="473" t="s">
        <v>775</v>
      </c>
      <c r="F10" s="469" t="s">
        <v>727</v>
      </c>
      <c r="G10" s="475" t="s">
        <v>730</v>
      </c>
      <c r="H10" s="482" t="s">
        <v>1169</v>
      </c>
      <c r="I10" s="373" t="s">
        <v>731</v>
      </c>
      <c r="L10" s="469" t="s">
        <v>1134</v>
      </c>
    </row>
    <row r="11" spans="1:12">
      <c r="F11" s="773" t="s">
        <v>1130</v>
      </c>
      <c r="G11" s="774" t="s">
        <v>1549</v>
      </c>
      <c r="H11" s="482" t="s">
        <v>1550</v>
      </c>
      <c r="I11" s="471" t="s">
        <v>1551</v>
      </c>
      <c r="L11" s="779" t="s">
        <v>1134</v>
      </c>
    </row>
    <row r="12" spans="1:12">
      <c r="F12" s="478" t="s">
        <v>1139</v>
      </c>
      <c r="G12" s="478" t="s">
        <v>1137</v>
      </c>
      <c r="H12" s="486" t="s">
        <v>1140</v>
      </c>
      <c r="I12" s="479" t="s">
        <v>1138</v>
      </c>
      <c r="L12" s="478" t="s">
        <v>1134</v>
      </c>
    </row>
    <row r="13" spans="1:12">
      <c r="A13" s="479" t="s">
        <v>775</v>
      </c>
      <c r="B13" s="479" t="s">
        <v>775</v>
      </c>
      <c r="F13" s="469" t="s">
        <v>718</v>
      </c>
      <c r="G13" s="469" t="s">
        <v>915</v>
      </c>
      <c r="H13" s="486" t="s">
        <v>1165</v>
      </c>
      <c r="I13" s="474" t="s">
        <v>1123</v>
      </c>
      <c r="L13" s="469" t="s">
        <v>1133</v>
      </c>
    </row>
    <row r="14" spans="1:12">
      <c r="B14" s="469" t="s">
        <v>775</v>
      </c>
      <c r="C14" s="469" t="s">
        <v>775</v>
      </c>
      <c r="D14" s="479" t="s">
        <v>775</v>
      </c>
      <c r="E14" s="488" t="s">
        <v>775</v>
      </c>
      <c r="F14" s="469" t="s">
        <v>718</v>
      </c>
      <c r="G14" s="469" t="s">
        <v>721</v>
      </c>
      <c r="H14" s="486" t="s">
        <v>1166</v>
      </c>
      <c r="I14" s="373" t="s">
        <v>722</v>
      </c>
      <c r="L14" s="469" t="s">
        <v>1133</v>
      </c>
    </row>
    <row r="15" spans="1:12">
      <c r="F15" s="469" t="s">
        <v>1127</v>
      </c>
      <c r="G15" s="469" t="s">
        <v>1125</v>
      </c>
      <c r="H15" s="482" t="s">
        <v>1152</v>
      </c>
      <c r="I15" s="471" t="s">
        <v>1126</v>
      </c>
      <c r="L15" s="469" t="s">
        <v>1133</v>
      </c>
    </row>
    <row r="16" spans="1:12">
      <c r="B16" s="469" t="s">
        <v>775</v>
      </c>
      <c r="F16" s="492" t="s">
        <v>727</v>
      </c>
      <c r="G16" s="469" t="s">
        <v>914</v>
      </c>
      <c r="H16" s="486" t="s">
        <v>1168</v>
      </c>
      <c r="I16" s="474" t="s">
        <v>1124</v>
      </c>
      <c r="L16" s="469" t="s">
        <v>1133</v>
      </c>
    </row>
    <row r="17" spans="1:12">
      <c r="F17" s="469" t="s">
        <v>1130</v>
      </c>
      <c r="G17" s="469" t="s">
        <v>1117</v>
      </c>
      <c r="H17" s="486" t="s">
        <v>1167</v>
      </c>
      <c r="I17" s="471" t="s">
        <v>1118</v>
      </c>
      <c r="L17" s="469" t="s">
        <v>1133</v>
      </c>
    </row>
    <row r="18" spans="1:12">
      <c r="B18" s="469" t="s">
        <v>775</v>
      </c>
      <c r="C18" s="469" t="s">
        <v>775</v>
      </c>
      <c r="F18" s="469" t="s">
        <v>732</v>
      </c>
      <c r="G18" s="475" t="s">
        <v>733</v>
      </c>
      <c r="H18" s="482" t="s">
        <v>1153</v>
      </c>
      <c r="I18" s="373" t="s">
        <v>734</v>
      </c>
    </row>
    <row r="19" spans="1:12">
      <c r="F19" s="492" t="s">
        <v>732</v>
      </c>
      <c r="G19" s="475" t="s">
        <v>737</v>
      </c>
      <c r="H19" s="482" t="s">
        <v>1154</v>
      </c>
      <c r="I19" s="373" t="s">
        <v>738</v>
      </c>
    </row>
    <row r="20" spans="1:12">
      <c r="F20" s="469" t="s">
        <v>750</v>
      </c>
      <c r="G20" s="475" t="s">
        <v>751</v>
      </c>
      <c r="H20" s="482" t="s">
        <v>1155</v>
      </c>
      <c r="I20" s="476" t="s">
        <v>752</v>
      </c>
    </row>
    <row r="21" spans="1:12">
      <c r="F21" s="469" t="s">
        <v>750</v>
      </c>
      <c r="G21" s="475" t="s">
        <v>761</v>
      </c>
      <c r="H21" s="482" t="s">
        <v>1156</v>
      </c>
      <c r="I21" s="373" t="s">
        <v>762</v>
      </c>
    </row>
    <row r="22" spans="1:12">
      <c r="B22" s="469" t="s">
        <v>775</v>
      </c>
      <c r="C22" s="479" t="s">
        <v>775</v>
      </c>
      <c r="D22" s="479" t="s">
        <v>775</v>
      </c>
      <c r="F22" s="469" t="s">
        <v>755</v>
      </c>
      <c r="G22" s="475" t="s">
        <v>756</v>
      </c>
      <c r="H22" s="483" t="s">
        <v>1157</v>
      </c>
      <c r="I22" s="373" t="s">
        <v>757</v>
      </c>
    </row>
    <row r="23" spans="1:12">
      <c r="B23" s="479" t="s">
        <v>775</v>
      </c>
      <c r="E23" s="488" t="s">
        <v>775</v>
      </c>
      <c r="F23" s="469" t="s">
        <v>758</v>
      </c>
      <c r="G23" s="475" t="s">
        <v>759</v>
      </c>
      <c r="H23" s="485" t="s">
        <v>1158</v>
      </c>
      <c r="I23" s="373" t="s">
        <v>760</v>
      </c>
    </row>
    <row r="24" spans="1:12">
      <c r="B24" s="469" t="s">
        <v>775</v>
      </c>
      <c r="C24" s="469" t="s">
        <v>775</v>
      </c>
      <c r="F24" s="469" t="s">
        <v>718</v>
      </c>
      <c r="G24" s="475" t="s">
        <v>725</v>
      </c>
      <c r="H24" s="487" t="s">
        <v>1159</v>
      </c>
      <c r="I24" s="373" t="s">
        <v>726</v>
      </c>
    </row>
    <row r="25" spans="1:12">
      <c r="F25" s="469" t="s">
        <v>743</v>
      </c>
      <c r="G25" s="475" t="s">
        <v>744</v>
      </c>
      <c r="H25" s="485" t="s">
        <v>1170</v>
      </c>
      <c r="I25" s="373" t="s">
        <v>745</v>
      </c>
    </row>
    <row r="26" spans="1:12">
      <c r="F26" s="492" t="s">
        <v>1173</v>
      </c>
      <c r="G26" s="475" t="s">
        <v>748</v>
      </c>
      <c r="H26" s="485" t="s">
        <v>1171</v>
      </c>
      <c r="I26" s="373" t="s">
        <v>749</v>
      </c>
    </row>
    <row r="27" spans="1:12">
      <c r="F27" s="492" t="s">
        <v>1173</v>
      </c>
      <c r="G27" s="493" t="s">
        <v>746</v>
      </c>
      <c r="H27" s="485" t="s">
        <v>1172</v>
      </c>
      <c r="I27" s="476" t="s">
        <v>747</v>
      </c>
    </row>
    <row r="28" spans="1:12">
      <c r="F28" s="469" t="s">
        <v>1130</v>
      </c>
      <c r="G28" s="475" t="s">
        <v>1116</v>
      </c>
      <c r="H28" s="485" t="s">
        <v>1143</v>
      </c>
      <c r="I28" s="470" t="s">
        <v>1115</v>
      </c>
    </row>
    <row r="29" spans="1:12">
      <c r="A29" s="479" t="s">
        <v>775</v>
      </c>
      <c r="F29" s="469" t="s">
        <v>1114</v>
      </c>
      <c r="G29" s="475" t="s">
        <v>1113</v>
      </c>
      <c r="H29" s="485" t="s">
        <v>1160</v>
      </c>
      <c r="I29" s="474" t="s">
        <v>1112</v>
      </c>
    </row>
    <row r="30" spans="1:12">
      <c r="F30" s="469" t="s">
        <v>1129</v>
      </c>
      <c r="G30" s="475" t="s">
        <v>1109</v>
      </c>
      <c r="H30" s="485" t="s">
        <v>1161</v>
      </c>
      <c r="I30" s="468" t="s">
        <v>1108</v>
      </c>
    </row>
    <row r="31" spans="1:12">
      <c r="F31" s="1414" t="s">
        <v>1976</v>
      </c>
      <c r="G31" s="1413" t="s">
        <v>1975</v>
      </c>
      <c r="H31" s="485"/>
      <c r="I31" s="471" t="s">
        <v>1974</v>
      </c>
    </row>
    <row r="32" spans="1:12">
      <c r="F32" s="1414"/>
      <c r="G32" s="1413"/>
      <c r="H32" s="485"/>
      <c r="I32" s="471"/>
    </row>
    <row r="33" spans="1:12">
      <c r="F33" s="469" t="s">
        <v>742</v>
      </c>
      <c r="H33" s="486"/>
      <c r="I33" s="471"/>
    </row>
    <row r="34" spans="1:12">
      <c r="F34" s="374" t="s">
        <v>763</v>
      </c>
      <c r="H34" s="486"/>
      <c r="I34" s="489"/>
    </row>
    <row r="35" spans="1:12" ht="45">
      <c r="A35" s="479" t="s">
        <v>775</v>
      </c>
      <c r="B35" s="479" t="s">
        <v>775</v>
      </c>
      <c r="C35" s="479" t="s">
        <v>775</v>
      </c>
      <c r="D35" s="479" t="s">
        <v>775</v>
      </c>
      <c r="E35" s="488" t="s">
        <v>775</v>
      </c>
      <c r="F35" s="477" t="s">
        <v>764</v>
      </c>
      <c r="G35" s="475" t="s">
        <v>765</v>
      </c>
      <c r="H35" s="485" t="s">
        <v>1145</v>
      </c>
      <c r="I35" s="373" t="s">
        <v>766</v>
      </c>
      <c r="L35" s="469" t="s">
        <v>767</v>
      </c>
    </row>
    <row r="36" spans="1:12">
      <c r="A36" s="479" t="s">
        <v>775</v>
      </c>
      <c r="B36" s="479" t="s">
        <v>775</v>
      </c>
      <c r="C36" s="479" t="s">
        <v>775</v>
      </c>
      <c r="D36" s="479" t="s">
        <v>775</v>
      </c>
      <c r="E36" s="488" t="s">
        <v>775</v>
      </c>
      <c r="F36" s="469" t="s">
        <v>768</v>
      </c>
      <c r="G36" s="469" t="s">
        <v>769</v>
      </c>
      <c r="H36" s="486" t="s">
        <v>1143</v>
      </c>
      <c r="I36" s="476" t="s">
        <v>770</v>
      </c>
      <c r="L36" s="469" t="s">
        <v>771</v>
      </c>
    </row>
    <row r="37" spans="1:12">
      <c r="A37" s="479" t="s">
        <v>775</v>
      </c>
      <c r="B37" s="479" t="s">
        <v>775</v>
      </c>
      <c r="C37" s="479" t="s">
        <v>775</v>
      </c>
      <c r="D37" s="479" t="s">
        <v>775</v>
      </c>
      <c r="E37" s="488" t="s">
        <v>775</v>
      </c>
      <c r="F37" s="479" t="s">
        <v>768</v>
      </c>
      <c r="G37" s="469" t="s">
        <v>772</v>
      </c>
      <c r="H37" s="482" t="s">
        <v>1144</v>
      </c>
      <c r="I37" s="373" t="s">
        <v>773</v>
      </c>
      <c r="L37" s="469" t="s">
        <v>774</v>
      </c>
    </row>
    <row r="38" spans="1:12">
      <c r="A38" s="479" t="s">
        <v>775</v>
      </c>
      <c r="D38" s="479" t="s">
        <v>775</v>
      </c>
      <c r="F38" s="479" t="s">
        <v>768</v>
      </c>
      <c r="G38" s="479" t="s">
        <v>1162</v>
      </c>
      <c r="H38" s="479" t="s">
        <v>1163</v>
      </c>
      <c r="I38" s="474" t="s">
        <v>1164</v>
      </c>
      <c r="L38" s="479" t="s">
        <v>788</v>
      </c>
    </row>
    <row r="39" spans="1:12">
      <c r="F39" s="479" t="s">
        <v>768</v>
      </c>
      <c r="G39" s="720" t="s">
        <v>1461</v>
      </c>
      <c r="H39" s="720" t="s">
        <v>1462</v>
      </c>
    </row>
    <row r="40" spans="1:12">
      <c r="B40" s="469" t="s">
        <v>1131</v>
      </c>
      <c r="H40" s="479"/>
    </row>
    <row r="41" spans="1:12">
      <c r="B41" s="469" t="s">
        <v>775</v>
      </c>
      <c r="C41" s="469" t="s">
        <v>775</v>
      </c>
      <c r="D41" s="479" t="s">
        <v>775</v>
      </c>
      <c r="F41" s="469" t="s">
        <v>709</v>
      </c>
      <c r="G41" s="475" t="s">
        <v>710</v>
      </c>
      <c r="H41" s="480"/>
      <c r="I41" s="373" t="s">
        <v>711</v>
      </c>
      <c r="L41" s="469" t="s">
        <v>712</v>
      </c>
    </row>
    <row r="42" spans="1:12">
      <c r="E42" s="473" t="s">
        <v>775</v>
      </c>
      <c r="F42" s="469" t="s">
        <v>709</v>
      </c>
      <c r="G42" s="475" t="s">
        <v>715</v>
      </c>
      <c r="H42" s="480"/>
      <c r="I42" s="373" t="s">
        <v>716</v>
      </c>
      <c r="L42" s="469" t="s">
        <v>717</v>
      </c>
    </row>
    <row r="43" spans="1:12">
      <c r="C43" s="469" t="s">
        <v>775</v>
      </c>
      <c r="D43" s="479" t="s">
        <v>775</v>
      </c>
      <c r="E43" s="473" t="s">
        <v>775</v>
      </c>
      <c r="F43" s="469" t="s">
        <v>718</v>
      </c>
      <c r="G43" s="469" t="s">
        <v>723</v>
      </c>
      <c r="H43" s="479"/>
      <c r="I43" s="373" t="s">
        <v>724</v>
      </c>
    </row>
    <row r="44" spans="1:12">
      <c r="E44" s="488" t="s">
        <v>775</v>
      </c>
      <c r="F44" s="469" t="s">
        <v>732</v>
      </c>
      <c r="G44" s="469" t="s">
        <v>735</v>
      </c>
      <c r="H44" s="479"/>
      <c r="I44" s="373" t="s">
        <v>736</v>
      </c>
    </row>
    <row r="45" spans="1:12">
      <c r="F45" s="469" t="s">
        <v>739</v>
      </c>
      <c r="G45" s="475" t="s">
        <v>740</v>
      </c>
      <c r="H45" s="480"/>
      <c r="I45" s="373" t="s">
        <v>741</v>
      </c>
    </row>
  </sheetData>
  <sortState ref="A2:L30">
    <sortCondition ref="L2:L30"/>
    <sortCondition ref="F2:F30"/>
  </sortState>
  <hyperlinks>
    <hyperlink ref="I36" r:id="rId1"/>
    <hyperlink ref="I27" r:id="rId2"/>
    <hyperlink ref="I20" r:id="rId3"/>
    <hyperlink ref="I28" r:id="rId4"/>
    <hyperlink ref="I17" r:id="rId5"/>
    <hyperlink ref="I2" r:id="rId6" display="mailto:Pierre.Powell@dhe.state.co.us"/>
    <hyperlink ref="I9" r:id="rId7"/>
    <hyperlink ref="I8" r:id="rId8" display="mailto:Tucker_A@cde.state.co.us"/>
    <hyperlink ref="I13" r:id="rId9"/>
    <hyperlink ref="I16" r:id="rId10" display="mailto:andrew.galloway@state.co.us"/>
    <hyperlink ref="I5" r:id="rId11"/>
    <hyperlink ref="I6" r:id="rId12"/>
    <hyperlink ref="I29" r:id="rId13"/>
    <hyperlink ref="I38" r:id="rId14"/>
  </hyperlinks>
  <pageMargins left="0.25" right="0.25" top="0.75" bottom="0.75" header="0.3" footer="0.3"/>
  <pageSetup scale="95" orientation="landscape" r:id="rId1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85" zoomScaleNormal="85" workbookViewId="0">
      <pane ySplit="2" topLeftCell="A35" activePane="bottomLeft" state="frozen"/>
      <selection pane="bottomLeft" activeCell="H67" sqref="H67"/>
    </sheetView>
  </sheetViews>
  <sheetFormatPr defaultColWidth="9.75" defaultRowHeight="15"/>
  <cols>
    <col min="1" max="1" width="40" style="724" customWidth="1"/>
    <col min="2" max="2" width="14.5" style="724" bestFit="1" customWidth="1"/>
    <col min="3" max="5" width="9.75" style="724"/>
    <col min="6" max="6" width="11" style="724" customWidth="1"/>
    <col min="7" max="7" width="13" style="724" customWidth="1"/>
    <col min="8" max="8" width="13.125" style="724" customWidth="1"/>
    <col min="9" max="16384" width="9.75" style="724"/>
  </cols>
  <sheetData>
    <row r="1" spans="1:23">
      <c r="B1" s="1628" t="s">
        <v>664</v>
      </c>
      <c r="C1" s="1628"/>
      <c r="D1" s="1628"/>
      <c r="E1" s="1628"/>
      <c r="F1" s="1628"/>
      <c r="G1" s="1628"/>
      <c r="H1" s="1628"/>
      <c r="I1" s="1628"/>
      <c r="J1" s="1628"/>
      <c r="K1" s="1629"/>
      <c r="L1" s="1630" t="s">
        <v>665</v>
      </c>
      <c r="M1" s="1628"/>
      <c r="N1" s="1628"/>
      <c r="O1" s="1628"/>
      <c r="P1" s="1628"/>
      <c r="Q1" s="1628"/>
      <c r="R1" s="1628"/>
      <c r="S1" s="1628"/>
      <c r="T1" s="1628"/>
      <c r="U1" s="1628"/>
      <c r="V1" s="1628"/>
      <c r="W1" s="1628"/>
    </row>
    <row r="2" spans="1:23">
      <c r="A2" s="724" t="s">
        <v>204</v>
      </c>
      <c r="B2" s="725" t="s">
        <v>1470</v>
      </c>
      <c r="C2" s="725" t="s">
        <v>69</v>
      </c>
      <c r="D2" s="725" t="s">
        <v>70</v>
      </c>
      <c r="E2" s="725" t="s">
        <v>71</v>
      </c>
      <c r="F2" s="725" t="s">
        <v>72</v>
      </c>
      <c r="G2" s="725" t="s">
        <v>73</v>
      </c>
      <c r="H2" s="725" t="s">
        <v>74</v>
      </c>
      <c r="I2" s="725" t="s">
        <v>75</v>
      </c>
      <c r="J2" s="725" t="s">
        <v>76</v>
      </c>
      <c r="K2" s="725" t="s">
        <v>77</v>
      </c>
      <c r="L2" s="725" t="s">
        <v>65</v>
      </c>
      <c r="M2" s="725" t="s">
        <v>67</v>
      </c>
      <c r="N2" s="725" t="s">
        <v>68</v>
      </c>
      <c r="O2" s="725" t="s">
        <v>69</v>
      </c>
      <c r="P2" s="725" t="s">
        <v>70</v>
      </c>
      <c r="Q2" s="725" t="s">
        <v>71</v>
      </c>
      <c r="R2" s="725" t="s">
        <v>72</v>
      </c>
      <c r="S2" s="725" t="s">
        <v>73</v>
      </c>
      <c r="T2" s="725" t="s">
        <v>74</v>
      </c>
      <c r="U2" s="725" t="s">
        <v>75</v>
      </c>
      <c r="V2" s="725" t="s">
        <v>76</v>
      </c>
      <c r="W2" s="725" t="s">
        <v>77</v>
      </c>
    </row>
    <row r="3" spans="1:23" s="728" customFormat="1" ht="15.75" thickBot="1">
      <c r="A3" s="726" t="s">
        <v>1101</v>
      </c>
      <c r="B3" s="727"/>
      <c r="C3" s="727"/>
      <c r="D3" s="727"/>
      <c r="E3" s="727"/>
      <c r="F3" s="727"/>
      <c r="G3" s="727"/>
      <c r="H3" s="727"/>
      <c r="I3" s="727"/>
      <c r="J3" s="727"/>
      <c r="K3" s="727"/>
      <c r="L3" s="727"/>
      <c r="M3" s="727"/>
      <c r="N3" s="727"/>
      <c r="O3" s="727"/>
      <c r="P3" s="727"/>
      <c r="Q3" s="727"/>
      <c r="R3" s="727"/>
      <c r="S3" s="727"/>
      <c r="T3" s="727"/>
      <c r="U3" s="727"/>
      <c r="V3" s="727"/>
      <c r="W3" s="727"/>
    </row>
    <row r="4" spans="1:23" s="736" customFormat="1" ht="15.75" thickTop="1">
      <c r="A4" s="733" t="s">
        <v>1471</v>
      </c>
      <c r="B4" s="734"/>
      <c r="C4" s="734"/>
      <c r="D4" s="735">
        <v>43052</v>
      </c>
      <c r="E4" s="734"/>
      <c r="F4" s="734"/>
      <c r="G4" s="734"/>
      <c r="H4" s="734"/>
      <c r="I4" s="734"/>
      <c r="J4" s="734"/>
      <c r="K4" s="734"/>
      <c r="L4" s="734"/>
      <c r="M4" s="734"/>
      <c r="N4" s="734"/>
      <c r="O4" s="734"/>
      <c r="P4" s="734"/>
      <c r="Q4" s="734"/>
      <c r="R4" s="734"/>
      <c r="S4" s="734"/>
      <c r="T4" s="734"/>
      <c r="U4" s="734"/>
      <c r="V4" s="734"/>
      <c r="W4" s="734"/>
    </row>
    <row r="5" spans="1:23" s="738" customFormat="1">
      <c r="A5" s="737" t="s">
        <v>1472</v>
      </c>
      <c r="D5" s="739">
        <v>43067</v>
      </c>
    </row>
    <row r="6" spans="1:23" s="730" customFormat="1">
      <c r="A6" s="740" t="s">
        <v>1102</v>
      </c>
      <c r="B6" s="740" t="s">
        <v>1473</v>
      </c>
      <c r="C6" s="729"/>
      <c r="D6" s="729"/>
      <c r="E6" s="741">
        <v>43081</v>
      </c>
      <c r="F6" s="729"/>
      <c r="G6" s="729"/>
      <c r="H6" s="729"/>
      <c r="I6" s="729"/>
      <c r="J6" s="729"/>
      <c r="K6" s="729"/>
      <c r="L6" s="729"/>
      <c r="M6" s="729"/>
      <c r="N6" s="729"/>
      <c r="O6" s="729"/>
      <c r="P6" s="729"/>
      <c r="Q6" s="729"/>
      <c r="R6" s="729"/>
      <c r="S6" s="729"/>
      <c r="T6" s="729"/>
      <c r="U6" s="729"/>
      <c r="V6" s="729"/>
      <c r="W6" s="729"/>
    </row>
    <row r="7" spans="1:23" s="730" customFormat="1">
      <c r="A7" s="740" t="s">
        <v>1103</v>
      </c>
      <c r="B7" s="740" t="s">
        <v>1474</v>
      </c>
      <c r="C7" s="729"/>
      <c r="D7" s="729"/>
      <c r="E7" s="741">
        <v>43081</v>
      </c>
      <c r="F7" s="729"/>
      <c r="G7" s="729"/>
      <c r="H7" s="729"/>
      <c r="I7" s="729"/>
      <c r="J7" s="729"/>
      <c r="K7" s="729"/>
      <c r="L7" s="729"/>
      <c r="M7" s="729"/>
      <c r="N7" s="729"/>
      <c r="O7" s="729"/>
      <c r="P7" s="729"/>
      <c r="Q7" s="729"/>
      <c r="R7" s="729"/>
      <c r="S7" s="729"/>
      <c r="T7" s="729"/>
      <c r="U7" s="729"/>
      <c r="V7" s="729"/>
      <c r="W7" s="729"/>
    </row>
    <row r="8" spans="1:23" s="730" customFormat="1" ht="45">
      <c r="A8" s="740" t="s">
        <v>1475</v>
      </c>
      <c r="B8" s="729" t="s">
        <v>1515</v>
      </c>
      <c r="C8" s="729"/>
      <c r="D8" s="729"/>
      <c r="E8" s="729"/>
      <c r="F8" s="742">
        <v>43110</v>
      </c>
      <c r="G8" s="729"/>
      <c r="H8" s="729"/>
      <c r="I8" s="729"/>
      <c r="J8" s="729"/>
      <c r="K8" s="729"/>
      <c r="L8" s="729"/>
      <c r="M8" s="729"/>
      <c r="N8" s="729"/>
      <c r="O8" s="729"/>
      <c r="P8" s="729"/>
      <c r="Q8" s="729"/>
      <c r="R8" s="729"/>
      <c r="S8" s="729"/>
      <c r="T8" s="729"/>
      <c r="U8" s="729"/>
      <c r="V8" s="729"/>
      <c r="W8" s="729"/>
    </row>
    <row r="9" spans="1:23" s="730" customFormat="1">
      <c r="A9" s="740" t="s">
        <v>1476</v>
      </c>
      <c r="B9" s="740" t="s">
        <v>1477</v>
      </c>
      <c r="C9" s="729"/>
      <c r="D9" s="729"/>
      <c r="E9" s="729"/>
      <c r="F9" s="741">
        <v>43116</v>
      </c>
      <c r="G9" s="729"/>
      <c r="H9" s="729"/>
      <c r="I9" s="729"/>
      <c r="J9" s="729"/>
      <c r="K9" s="729"/>
      <c r="L9" s="729"/>
      <c r="M9" s="729"/>
      <c r="N9" s="729"/>
      <c r="O9" s="729"/>
      <c r="P9" s="729"/>
      <c r="Q9" s="729"/>
      <c r="R9" s="729"/>
      <c r="S9" s="729"/>
      <c r="T9" s="729"/>
      <c r="U9" s="729"/>
      <c r="V9" s="729"/>
      <c r="W9" s="729"/>
    </row>
    <row r="10" spans="1:23" s="730" customFormat="1">
      <c r="A10" s="740" t="s">
        <v>1478</v>
      </c>
      <c r="B10" s="731" t="s">
        <v>1516</v>
      </c>
      <c r="C10" s="731"/>
      <c r="D10" s="731"/>
      <c r="E10" s="731"/>
      <c r="F10" s="743">
        <v>43129</v>
      </c>
      <c r="G10" s="731"/>
      <c r="H10" s="731"/>
      <c r="I10" s="731"/>
      <c r="J10" s="731"/>
      <c r="K10" s="731"/>
      <c r="L10" s="731"/>
      <c r="M10" s="731"/>
      <c r="N10" s="731"/>
      <c r="O10" s="731"/>
      <c r="P10" s="731"/>
      <c r="Q10" s="731"/>
      <c r="R10" s="731"/>
      <c r="S10" s="731"/>
      <c r="T10" s="731"/>
      <c r="U10" s="731"/>
      <c r="V10" s="731"/>
      <c r="W10" s="731"/>
    </row>
    <row r="11" spans="1:23" s="730" customFormat="1">
      <c r="A11" s="740" t="s">
        <v>1522</v>
      </c>
      <c r="B11" s="731" t="s">
        <v>1523</v>
      </c>
      <c r="C11" s="731"/>
      <c r="D11" s="731"/>
      <c r="E11" s="731"/>
      <c r="F11" s="743">
        <v>43128</v>
      </c>
      <c r="G11" s="731"/>
      <c r="H11" s="731"/>
      <c r="I11" s="731"/>
      <c r="J11" s="731"/>
      <c r="K11" s="731"/>
      <c r="L11" s="731"/>
      <c r="M11" s="731"/>
      <c r="N11" s="731"/>
      <c r="O11" s="731"/>
      <c r="P11" s="731"/>
      <c r="Q11" s="731"/>
      <c r="R11" s="731"/>
      <c r="S11" s="731"/>
      <c r="T11" s="731"/>
      <c r="U11" s="731"/>
      <c r="V11" s="731"/>
      <c r="W11" s="731"/>
    </row>
    <row r="12" spans="1:23" s="730" customFormat="1" ht="30">
      <c r="A12" s="740" t="s">
        <v>1479</v>
      </c>
      <c r="B12" s="740" t="s">
        <v>1480</v>
      </c>
      <c r="C12" s="731"/>
      <c r="D12" s="731"/>
      <c r="E12" s="731"/>
      <c r="F12" s="743">
        <v>43130</v>
      </c>
      <c r="G12" s="731"/>
      <c r="H12" s="731"/>
      <c r="I12" s="731"/>
      <c r="J12" s="731"/>
      <c r="K12" s="731"/>
      <c r="L12" s="731"/>
      <c r="M12" s="731"/>
      <c r="N12" s="731"/>
      <c r="O12" s="731"/>
      <c r="P12" s="731"/>
      <c r="Q12" s="731"/>
      <c r="R12" s="731"/>
      <c r="S12" s="731"/>
      <c r="T12" s="731"/>
      <c r="U12" s="731"/>
      <c r="V12" s="731"/>
      <c r="W12" s="731"/>
    </row>
    <row r="13" spans="1:23" s="730" customFormat="1">
      <c r="A13" s="744" t="s">
        <v>1481</v>
      </c>
      <c r="B13" s="729"/>
      <c r="C13" s="729"/>
      <c r="D13" s="729"/>
      <c r="E13" s="729"/>
      <c r="F13" s="742">
        <v>43130</v>
      </c>
      <c r="G13" s="729"/>
      <c r="H13" s="729"/>
      <c r="I13" s="729"/>
      <c r="J13" s="729"/>
      <c r="K13" s="729"/>
      <c r="L13" s="729"/>
      <c r="M13" s="729"/>
      <c r="N13" s="729"/>
      <c r="O13" s="729"/>
      <c r="P13" s="729"/>
      <c r="Q13" s="729"/>
      <c r="R13" s="729"/>
      <c r="S13" s="729"/>
      <c r="T13" s="729"/>
      <c r="U13" s="729"/>
      <c r="V13" s="729"/>
      <c r="W13" s="729"/>
    </row>
    <row r="14" spans="1:23" s="730" customFormat="1">
      <c r="A14" s="740" t="s">
        <v>1105</v>
      </c>
      <c r="B14" s="729" t="s">
        <v>1517</v>
      </c>
      <c r="C14" s="729"/>
      <c r="D14" s="729"/>
      <c r="E14" s="729"/>
      <c r="F14" s="729"/>
      <c r="G14" s="745">
        <v>43133</v>
      </c>
      <c r="H14" s="729"/>
      <c r="I14" s="729"/>
      <c r="J14" s="729"/>
      <c r="K14" s="729"/>
      <c r="L14" s="729"/>
      <c r="M14" s="729"/>
      <c r="N14" s="729"/>
      <c r="O14" s="729"/>
      <c r="P14" s="729"/>
      <c r="Q14" s="729"/>
      <c r="R14" s="729"/>
      <c r="S14" s="729"/>
      <c r="T14" s="729"/>
      <c r="U14" s="729"/>
      <c r="V14" s="729"/>
      <c r="W14" s="729"/>
    </row>
    <row r="15" spans="1:23" s="730" customFormat="1">
      <c r="A15" s="740" t="s">
        <v>1482</v>
      </c>
      <c r="B15" s="744" t="s">
        <v>1483</v>
      </c>
      <c r="C15" s="731"/>
      <c r="D15" s="731"/>
      <c r="E15" s="731"/>
      <c r="F15" s="731"/>
      <c r="G15" s="746">
        <v>43137</v>
      </c>
      <c r="H15" s="731"/>
      <c r="I15" s="731"/>
      <c r="J15" s="731"/>
      <c r="K15" s="731"/>
      <c r="L15" s="731"/>
      <c r="M15" s="731"/>
      <c r="N15" s="731"/>
      <c r="O15" s="731"/>
      <c r="P15" s="731"/>
      <c r="Q15" s="731"/>
      <c r="R15" s="731"/>
      <c r="S15" s="731"/>
      <c r="T15" s="731"/>
      <c r="U15" s="731"/>
      <c r="V15" s="731"/>
      <c r="W15" s="731"/>
    </row>
    <row r="16" spans="1:23" s="730" customFormat="1" ht="30">
      <c r="A16" s="740" t="s">
        <v>1484</v>
      </c>
      <c r="B16" s="731" t="s">
        <v>1516</v>
      </c>
      <c r="C16" s="731"/>
      <c r="D16" s="731"/>
      <c r="E16" s="731"/>
      <c r="G16" s="743">
        <v>43137</v>
      </c>
      <c r="H16" s="731"/>
      <c r="I16" s="731"/>
      <c r="J16" s="731"/>
      <c r="K16" s="731"/>
      <c r="L16" s="731"/>
      <c r="M16" s="731"/>
      <c r="N16" s="731"/>
      <c r="O16" s="731"/>
      <c r="P16" s="731"/>
      <c r="Q16" s="731"/>
      <c r="R16" s="731"/>
      <c r="S16" s="731"/>
      <c r="T16" s="731"/>
      <c r="U16" s="731"/>
      <c r="V16" s="731"/>
      <c r="W16" s="731"/>
    </row>
    <row r="17" spans="1:23" s="730" customFormat="1" ht="30">
      <c r="A17" s="740" t="s">
        <v>1485</v>
      </c>
      <c r="B17" s="731" t="s">
        <v>1516</v>
      </c>
      <c r="C17" s="731"/>
      <c r="D17" s="731"/>
      <c r="E17" s="731"/>
      <c r="F17" s="731"/>
      <c r="G17" s="746">
        <v>43139</v>
      </c>
      <c r="H17" s="731"/>
      <c r="I17" s="731"/>
      <c r="J17" s="731"/>
      <c r="K17" s="731"/>
      <c r="L17" s="731"/>
      <c r="M17" s="731"/>
      <c r="N17" s="731"/>
      <c r="O17" s="731"/>
      <c r="P17" s="731"/>
      <c r="Q17" s="731"/>
      <c r="R17" s="731"/>
      <c r="S17" s="731"/>
      <c r="T17" s="731"/>
      <c r="U17" s="731"/>
      <c r="V17" s="731"/>
      <c r="W17" s="731"/>
    </row>
    <row r="18" spans="1:23" s="730" customFormat="1" ht="30">
      <c r="A18" s="732" t="s">
        <v>1518</v>
      </c>
      <c r="B18" s="740" t="s">
        <v>1486</v>
      </c>
      <c r="C18" s="729"/>
      <c r="D18" s="729"/>
      <c r="E18" s="729"/>
      <c r="F18" s="747"/>
      <c r="G18" s="741">
        <v>43140</v>
      </c>
      <c r="H18" s="729"/>
      <c r="I18" s="729"/>
      <c r="J18" s="729"/>
      <c r="K18" s="729"/>
      <c r="L18" s="729"/>
      <c r="M18" s="729"/>
      <c r="N18" s="729"/>
      <c r="O18" s="729"/>
      <c r="P18" s="729"/>
      <c r="Q18" s="729"/>
      <c r="R18" s="729"/>
      <c r="S18" s="729"/>
      <c r="T18" s="729"/>
      <c r="U18" s="729"/>
      <c r="V18" s="729"/>
      <c r="W18" s="729"/>
    </row>
    <row r="19" spans="1:23" s="730" customFormat="1">
      <c r="A19" s="740" t="s">
        <v>1487</v>
      </c>
      <c r="B19" s="744" t="s">
        <v>1488</v>
      </c>
      <c r="C19" s="731"/>
      <c r="D19" s="731"/>
      <c r="E19" s="731"/>
      <c r="F19" s="731"/>
      <c r="G19" s="746">
        <v>43145</v>
      </c>
      <c r="H19" s="731"/>
      <c r="I19" s="731"/>
      <c r="J19" s="731"/>
      <c r="K19" s="731"/>
      <c r="L19" s="731"/>
      <c r="M19" s="731"/>
      <c r="N19" s="731"/>
      <c r="O19" s="731"/>
      <c r="P19" s="731"/>
      <c r="Q19" s="731"/>
      <c r="R19" s="731"/>
      <c r="S19" s="731"/>
      <c r="T19" s="731"/>
      <c r="U19" s="731"/>
      <c r="V19" s="731"/>
      <c r="W19" s="731"/>
    </row>
    <row r="20" spans="1:23" s="730" customFormat="1">
      <c r="A20" s="740" t="s">
        <v>1489</v>
      </c>
      <c r="B20" s="731"/>
      <c r="C20" s="731"/>
      <c r="D20" s="731"/>
      <c r="E20" s="731"/>
      <c r="F20" s="731"/>
      <c r="G20" s="746">
        <v>43145</v>
      </c>
      <c r="H20" s="731"/>
      <c r="I20" s="731"/>
      <c r="J20" s="731"/>
      <c r="K20" s="731"/>
      <c r="L20" s="731"/>
      <c r="M20" s="731"/>
      <c r="N20" s="731"/>
      <c r="O20" s="731"/>
      <c r="P20" s="731"/>
      <c r="Q20" s="731"/>
      <c r="R20" s="731"/>
      <c r="S20" s="731"/>
      <c r="T20" s="731"/>
      <c r="U20" s="731"/>
      <c r="V20" s="731"/>
      <c r="W20" s="731"/>
    </row>
    <row r="21" spans="1:23" s="730" customFormat="1">
      <c r="A21" s="740" t="s">
        <v>1519</v>
      </c>
      <c r="B21" s="775" t="s">
        <v>1558</v>
      </c>
      <c r="C21" s="729"/>
      <c r="D21" s="729"/>
      <c r="E21" s="729"/>
      <c r="F21" s="729"/>
      <c r="G21" s="741">
        <v>43146</v>
      </c>
      <c r="H21" s="741"/>
      <c r="I21" s="729"/>
      <c r="J21" s="729"/>
      <c r="K21" s="729"/>
      <c r="L21" s="729"/>
      <c r="M21" s="729"/>
      <c r="N21" s="729"/>
      <c r="O21" s="729"/>
      <c r="P21" s="729"/>
      <c r="Q21" s="729"/>
      <c r="R21" s="729"/>
      <c r="S21" s="729"/>
      <c r="T21" s="729"/>
      <c r="U21" s="729"/>
      <c r="V21" s="729"/>
      <c r="W21" s="729"/>
    </row>
    <row r="22" spans="1:23" s="730" customFormat="1">
      <c r="A22" s="740" t="s">
        <v>1490</v>
      </c>
      <c r="B22" s="729"/>
      <c r="C22" s="729"/>
      <c r="D22" s="729"/>
      <c r="E22" s="729"/>
      <c r="F22" s="747"/>
      <c r="G22" s="741">
        <v>43146</v>
      </c>
      <c r="H22" s="729"/>
      <c r="I22" s="729"/>
      <c r="J22" s="729"/>
      <c r="K22" s="729"/>
      <c r="L22" s="729"/>
      <c r="M22" s="729"/>
      <c r="N22" s="729"/>
      <c r="O22" s="729"/>
      <c r="P22" s="729"/>
      <c r="Q22" s="729"/>
      <c r="R22" s="729"/>
      <c r="S22" s="729"/>
      <c r="T22" s="729"/>
      <c r="U22" s="729"/>
      <c r="V22" s="729"/>
      <c r="W22" s="729"/>
    </row>
    <row r="23" spans="1:23" s="730" customFormat="1" ht="30">
      <c r="A23" s="740" t="s">
        <v>1548</v>
      </c>
      <c r="B23" s="740" t="s">
        <v>1491</v>
      </c>
      <c r="C23" s="729"/>
      <c r="D23" s="729"/>
      <c r="E23" s="729"/>
      <c r="F23" s="729"/>
      <c r="G23" s="741">
        <v>43153</v>
      </c>
      <c r="H23" s="729"/>
      <c r="I23" s="729"/>
      <c r="J23" s="729"/>
      <c r="K23" s="729"/>
      <c r="L23" s="729"/>
      <c r="M23" s="729"/>
      <c r="N23" s="729"/>
      <c r="O23" s="729"/>
      <c r="P23" s="729"/>
      <c r="Q23" s="729"/>
      <c r="R23" s="729"/>
      <c r="S23" s="729"/>
      <c r="T23" s="729"/>
      <c r="U23" s="729"/>
      <c r="V23" s="729"/>
      <c r="W23" s="729"/>
    </row>
    <row r="24" spans="1:23" s="730" customFormat="1">
      <c r="A24" s="740" t="s">
        <v>1492</v>
      </c>
      <c r="B24" s="729"/>
      <c r="C24" s="729"/>
      <c r="D24" s="729"/>
      <c r="E24" s="729"/>
      <c r="F24" s="729"/>
      <c r="G24" s="748">
        <v>43152</v>
      </c>
      <c r="H24" s="729"/>
      <c r="I24" s="729"/>
      <c r="J24" s="729"/>
      <c r="K24" s="729"/>
      <c r="L24" s="729"/>
      <c r="M24" s="729"/>
      <c r="N24" s="729"/>
      <c r="O24" s="729"/>
      <c r="P24" s="729"/>
      <c r="Q24" s="729"/>
      <c r="R24" s="729"/>
      <c r="S24" s="729"/>
      <c r="T24" s="729"/>
      <c r="U24" s="729"/>
      <c r="V24" s="729"/>
      <c r="W24" s="729"/>
    </row>
    <row r="25" spans="1:23" s="730" customFormat="1">
      <c r="A25" s="740" t="s">
        <v>1559</v>
      </c>
      <c r="B25" s="740" t="s">
        <v>1493</v>
      </c>
      <c r="C25" s="729"/>
      <c r="D25" s="729"/>
      <c r="E25" s="729"/>
      <c r="F25" s="729"/>
      <c r="G25" s="741">
        <v>43152</v>
      </c>
      <c r="H25" s="729"/>
      <c r="I25" s="729"/>
      <c r="J25" s="729"/>
      <c r="K25" s="729"/>
      <c r="L25" s="729"/>
      <c r="M25" s="729"/>
      <c r="N25" s="729"/>
      <c r="O25" s="729"/>
      <c r="P25" s="729"/>
      <c r="Q25" s="729"/>
      <c r="R25" s="729"/>
      <c r="S25" s="729"/>
      <c r="T25" s="729"/>
      <c r="U25" s="729"/>
      <c r="V25" s="729"/>
      <c r="W25" s="729"/>
    </row>
    <row r="26" spans="1:23" s="730" customFormat="1" ht="30">
      <c r="A26" s="740" t="s">
        <v>1494</v>
      </c>
      <c r="B26" s="729" t="s">
        <v>1520</v>
      </c>
      <c r="C26" s="729"/>
      <c r="D26" s="729"/>
      <c r="E26" s="729"/>
      <c r="F26" s="729"/>
      <c r="G26" s="748">
        <v>43152</v>
      </c>
      <c r="H26" s="729"/>
      <c r="I26" s="729"/>
      <c r="J26" s="729"/>
      <c r="K26" s="729"/>
      <c r="L26" s="729"/>
      <c r="M26" s="729"/>
      <c r="N26" s="729"/>
      <c r="O26" s="729"/>
      <c r="P26" s="729"/>
      <c r="Q26" s="729"/>
      <c r="R26" s="729"/>
      <c r="S26" s="729"/>
      <c r="T26" s="729"/>
      <c r="U26" s="729"/>
      <c r="V26" s="729"/>
      <c r="W26" s="729"/>
    </row>
    <row r="27" spans="1:23" s="730" customFormat="1">
      <c r="A27" s="740" t="s">
        <v>1521</v>
      </c>
      <c r="B27" s="729" t="s">
        <v>1332</v>
      </c>
      <c r="C27" s="729"/>
      <c r="D27" s="729"/>
      <c r="E27" s="729"/>
      <c r="F27" s="747"/>
      <c r="G27" s="729"/>
      <c r="H27" s="729"/>
      <c r="I27" s="729"/>
      <c r="J27" s="729"/>
      <c r="K27" s="729"/>
      <c r="L27" s="729"/>
      <c r="M27" s="729"/>
      <c r="N27" s="729"/>
      <c r="O27" s="729"/>
      <c r="P27" s="729"/>
      <c r="Q27" s="729"/>
      <c r="R27" s="729"/>
      <c r="S27" s="729"/>
      <c r="T27" s="729"/>
      <c r="U27" s="729"/>
      <c r="V27" s="729"/>
      <c r="W27" s="729"/>
    </row>
    <row r="28" spans="1:23" s="730" customFormat="1">
      <c r="A28" s="740" t="s">
        <v>1495</v>
      </c>
      <c r="B28" s="729"/>
      <c r="C28" s="729"/>
      <c r="D28" s="729"/>
      <c r="E28" s="729"/>
      <c r="F28" s="747"/>
      <c r="G28" s="741">
        <v>43157</v>
      </c>
      <c r="H28" s="729"/>
      <c r="I28" s="729"/>
      <c r="J28" s="729"/>
      <c r="K28" s="729"/>
      <c r="L28" s="729"/>
      <c r="M28" s="729"/>
      <c r="N28" s="729"/>
      <c r="O28" s="729"/>
      <c r="P28" s="729"/>
      <c r="Q28" s="729"/>
      <c r="R28" s="729"/>
      <c r="S28" s="729"/>
      <c r="T28" s="729"/>
      <c r="U28" s="729"/>
      <c r="V28" s="729"/>
      <c r="W28" s="729"/>
    </row>
    <row r="29" spans="1:23" s="730" customFormat="1">
      <c r="A29" s="749" t="s">
        <v>1496</v>
      </c>
      <c r="B29" s="729"/>
      <c r="C29" s="729"/>
      <c r="D29" s="729"/>
      <c r="E29" s="729"/>
      <c r="F29" s="729"/>
      <c r="G29" s="741">
        <v>43159</v>
      </c>
      <c r="H29" s="741"/>
      <c r="I29" s="729"/>
      <c r="J29" s="729"/>
      <c r="K29" s="729"/>
      <c r="L29" s="729"/>
      <c r="M29" s="729"/>
      <c r="N29" s="729"/>
      <c r="O29" s="729"/>
      <c r="P29" s="729"/>
      <c r="Q29" s="729"/>
      <c r="R29" s="729"/>
      <c r="S29" s="729"/>
      <c r="T29" s="729"/>
      <c r="U29" s="729"/>
      <c r="V29" s="729"/>
      <c r="W29" s="729"/>
    </row>
    <row r="30" spans="1:23" s="730" customFormat="1">
      <c r="A30" s="749" t="s">
        <v>1497</v>
      </c>
      <c r="B30" s="729"/>
      <c r="C30" s="729"/>
      <c r="D30" s="729"/>
      <c r="E30" s="729"/>
      <c r="F30" s="729"/>
      <c r="G30" s="741"/>
      <c r="H30" s="741">
        <v>43160</v>
      </c>
      <c r="I30" s="729"/>
      <c r="J30" s="729"/>
      <c r="K30" s="729"/>
      <c r="L30" s="729"/>
      <c r="M30" s="729"/>
      <c r="N30" s="729"/>
      <c r="O30" s="729"/>
      <c r="P30" s="729"/>
      <c r="Q30" s="729"/>
      <c r="R30" s="729"/>
      <c r="S30" s="729"/>
      <c r="T30" s="729"/>
      <c r="U30" s="729"/>
      <c r="V30" s="729"/>
      <c r="W30" s="729"/>
    </row>
    <row r="31" spans="1:23" s="730" customFormat="1">
      <c r="A31" s="749" t="s">
        <v>1498</v>
      </c>
      <c r="C31" s="729"/>
      <c r="D31" s="729"/>
      <c r="E31" s="729"/>
      <c r="F31" s="729"/>
      <c r="G31" s="741"/>
      <c r="H31" s="741">
        <v>43160</v>
      </c>
      <c r="I31" s="729"/>
      <c r="J31" s="729"/>
      <c r="K31" s="729"/>
      <c r="L31" s="729"/>
      <c r="M31" s="729"/>
      <c r="N31" s="729"/>
      <c r="O31" s="729"/>
      <c r="P31" s="729"/>
      <c r="Q31" s="729"/>
      <c r="R31" s="729"/>
      <c r="S31" s="729"/>
      <c r="T31" s="729"/>
      <c r="U31" s="729"/>
      <c r="V31" s="729"/>
      <c r="W31" s="729"/>
    </row>
    <row r="32" spans="1:23" s="730" customFormat="1">
      <c r="A32" s="749" t="s">
        <v>1499</v>
      </c>
      <c r="B32" s="729"/>
      <c r="C32" s="729"/>
      <c r="D32" s="729"/>
      <c r="E32" s="729"/>
      <c r="F32" s="729"/>
      <c r="G32" s="741"/>
      <c r="H32" s="748">
        <v>43164</v>
      </c>
      <c r="J32" s="729"/>
      <c r="K32" s="729"/>
      <c r="L32" s="729"/>
      <c r="M32" s="729"/>
      <c r="N32" s="729"/>
      <c r="O32" s="729"/>
      <c r="P32" s="729"/>
      <c r="Q32" s="729"/>
      <c r="R32" s="729"/>
      <c r="S32" s="729"/>
      <c r="T32" s="729"/>
      <c r="U32" s="729"/>
      <c r="V32" s="729"/>
      <c r="W32" s="729"/>
    </row>
    <row r="33" spans="1:23" s="730" customFormat="1">
      <c r="A33" s="1631" t="s">
        <v>1104</v>
      </c>
      <c r="B33" s="740" t="s">
        <v>1500</v>
      </c>
      <c r="C33" s="729"/>
      <c r="D33" s="729"/>
      <c r="E33" s="729"/>
      <c r="F33" s="729"/>
      <c r="H33" s="742">
        <v>43164</v>
      </c>
      <c r="I33" s="729"/>
      <c r="J33" s="729"/>
      <c r="K33" s="729"/>
      <c r="L33" s="729"/>
      <c r="M33" s="729"/>
      <c r="N33" s="729"/>
      <c r="O33" s="729"/>
      <c r="P33" s="729"/>
      <c r="Q33" s="729"/>
      <c r="R33" s="729"/>
      <c r="S33" s="729"/>
      <c r="T33" s="729"/>
      <c r="U33" s="729"/>
      <c r="V33" s="729"/>
      <c r="W33" s="729"/>
    </row>
    <row r="34" spans="1:23" s="730" customFormat="1">
      <c r="A34" s="1632"/>
      <c r="B34" s="740" t="s">
        <v>1501</v>
      </c>
      <c r="C34" s="729"/>
      <c r="D34" s="729"/>
      <c r="E34" s="729"/>
      <c r="F34" s="729"/>
      <c r="H34" s="742">
        <v>43164</v>
      </c>
      <c r="I34" s="729"/>
      <c r="J34" s="729"/>
      <c r="K34" s="729"/>
      <c r="L34" s="729"/>
      <c r="M34" s="729"/>
      <c r="N34" s="729"/>
      <c r="O34" s="729"/>
      <c r="P34" s="729"/>
      <c r="Q34" s="729"/>
      <c r="R34" s="729"/>
      <c r="S34" s="729"/>
      <c r="T34" s="729"/>
      <c r="U34" s="729"/>
      <c r="V34" s="729"/>
      <c r="W34" s="729"/>
    </row>
    <row r="35" spans="1:23" s="730" customFormat="1">
      <c r="A35" s="1632"/>
      <c r="B35" s="740" t="s">
        <v>1502</v>
      </c>
      <c r="C35" s="729"/>
      <c r="D35" s="729"/>
      <c r="E35" s="729"/>
      <c r="F35" s="729"/>
      <c r="H35" s="742">
        <v>43164</v>
      </c>
      <c r="I35" s="729"/>
      <c r="J35" s="729"/>
      <c r="K35" s="729"/>
      <c r="L35" s="729"/>
      <c r="M35" s="729"/>
      <c r="N35" s="729"/>
      <c r="O35" s="729"/>
      <c r="P35" s="729"/>
      <c r="Q35" s="729"/>
      <c r="R35" s="729"/>
      <c r="S35" s="729"/>
      <c r="T35" s="729"/>
      <c r="U35" s="729"/>
      <c r="V35" s="729"/>
      <c r="W35" s="729"/>
    </row>
    <row r="36" spans="1:23" s="730" customFormat="1">
      <c r="A36" s="1632"/>
      <c r="B36" s="740" t="s">
        <v>1503</v>
      </c>
      <c r="C36" s="729"/>
      <c r="D36" s="729"/>
      <c r="E36" s="729"/>
      <c r="F36" s="729"/>
      <c r="H36" s="742">
        <v>43166</v>
      </c>
      <c r="I36" s="729"/>
      <c r="J36" s="729"/>
      <c r="K36" s="729"/>
      <c r="L36" s="729"/>
      <c r="M36" s="729"/>
      <c r="N36" s="729"/>
      <c r="O36" s="729"/>
      <c r="P36" s="729"/>
      <c r="Q36" s="729"/>
      <c r="R36" s="729"/>
      <c r="S36" s="729"/>
      <c r="T36" s="729"/>
      <c r="U36" s="729"/>
      <c r="V36" s="729"/>
      <c r="W36" s="729"/>
    </row>
    <row r="37" spans="1:23" s="730" customFormat="1">
      <c r="A37" s="1632"/>
      <c r="B37" s="740" t="s">
        <v>1504</v>
      </c>
      <c r="C37" s="729"/>
      <c r="D37" s="729"/>
      <c r="E37" s="729"/>
      <c r="F37" s="729"/>
      <c r="H37" s="742">
        <v>43166</v>
      </c>
      <c r="I37" s="729"/>
      <c r="J37" s="729"/>
      <c r="K37" s="729"/>
      <c r="L37" s="729"/>
      <c r="M37" s="729"/>
      <c r="N37" s="729"/>
      <c r="O37" s="729"/>
      <c r="P37" s="729"/>
      <c r="Q37" s="729"/>
      <c r="R37" s="729"/>
      <c r="S37" s="729"/>
      <c r="T37" s="729"/>
      <c r="U37" s="729"/>
      <c r="V37" s="729"/>
      <c r="W37" s="729"/>
    </row>
    <row r="38" spans="1:23" s="730" customFormat="1">
      <c r="A38" s="1632"/>
      <c r="B38" s="740" t="s">
        <v>1505</v>
      </c>
      <c r="C38" s="729"/>
      <c r="D38" s="729"/>
      <c r="E38" s="729"/>
      <c r="F38" s="729"/>
      <c r="H38" s="742">
        <v>43171</v>
      </c>
      <c r="I38" s="729"/>
      <c r="J38" s="729"/>
      <c r="K38" s="729"/>
      <c r="L38" s="729"/>
      <c r="M38" s="729"/>
      <c r="N38" s="729"/>
      <c r="O38" s="729"/>
      <c r="P38" s="729"/>
      <c r="Q38" s="729"/>
      <c r="R38" s="729"/>
      <c r="S38" s="729"/>
      <c r="T38" s="729"/>
      <c r="U38" s="729"/>
      <c r="V38" s="729"/>
      <c r="W38" s="729"/>
    </row>
    <row r="39" spans="1:23" s="730" customFormat="1">
      <c r="A39" s="1633"/>
      <c r="B39" s="740" t="s">
        <v>1506</v>
      </c>
      <c r="C39" s="729"/>
      <c r="D39" s="729"/>
      <c r="E39" s="729"/>
      <c r="F39" s="729"/>
      <c r="H39" s="742">
        <v>43171</v>
      </c>
      <c r="I39" s="729"/>
      <c r="J39" s="729"/>
      <c r="K39" s="729"/>
      <c r="L39" s="729"/>
      <c r="M39" s="729"/>
      <c r="N39" s="729"/>
      <c r="O39" s="729"/>
      <c r="P39" s="729"/>
      <c r="Q39" s="729"/>
      <c r="R39" s="729"/>
      <c r="S39" s="729"/>
      <c r="T39" s="729"/>
      <c r="U39" s="729"/>
      <c r="V39" s="729"/>
      <c r="W39" s="729"/>
    </row>
    <row r="40" spans="1:23" s="730" customFormat="1">
      <c r="A40" s="740" t="s">
        <v>1507</v>
      </c>
      <c r="B40" s="729" t="s">
        <v>1523</v>
      </c>
      <c r="C40" s="729"/>
      <c r="D40" s="729"/>
      <c r="E40" s="729"/>
      <c r="F40" s="729"/>
      <c r="G40" s="729"/>
      <c r="H40" s="748">
        <v>43165</v>
      </c>
      <c r="I40" s="729"/>
      <c r="J40" s="729"/>
      <c r="K40" s="729"/>
      <c r="L40" s="729"/>
      <c r="M40" s="729"/>
      <c r="N40" s="729"/>
      <c r="O40" s="729"/>
      <c r="P40" s="729"/>
      <c r="Q40" s="729"/>
      <c r="R40" s="729"/>
      <c r="S40" s="729"/>
      <c r="T40" s="729"/>
      <c r="U40" s="729"/>
      <c r="V40" s="729"/>
      <c r="W40" s="729"/>
    </row>
    <row r="41" spans="1:23" s="730" customFormat="1">
      <c r="A41" s="740" t="s">
        <v>1508</v>
      </c>
      <c r="B41" s="729"/>
      <c r="C41" s="729"/>
      <c r="D41" s="729"/>
      <c r="E41" s="729"/>
      <c r="F41" s="729"/>
      <c r="G41" s="729"/>
      <c r="H41" s="748">
        <v>43165</v>
      </c>
      <c r="I41" s="729"/>
      <c r="J41" s="729"/>
      <c r="K41" s="729"/>
      <c r="L41" s="729"/>
      <c r="M41" s="729"/>
      <c r="N41" s="729"/>
      <c r="O41" s="729"/>
      <c r="P41" s="729"/>
      <c r="Q41" s="729"/>
      <c r="R41" s="729"/>
      <c r="S41" s="729"/>
      <c r="T41" s="729"/>
      <c r="U41" s="729"/>
      <c r="V41" s="729"/>
      <c r="W41" s="729"/>
    </row>
    <row r="42" spans="1:23" s="730" customFormat="1" ht="30">
      <c r="A42" s="740" t="s">
        <v>1547</v>
      </c>
      <c r="B42" s="772" t="s">
        <v>1491</v>
      </c>
      <c r="C42" s="729"/>
      <c r="D42" s="729"/>
      <c r="E42" s="729"/>
      <c r="F42" s="729"/>
      <c r="G42" s="729"/>
      <c r="H42" s="748">
        <v>43166</v>
      </c>
      <c r="I42" s="729"/>
      <c r="J42" s="729"/>
      <c r="K42" s="729"/>
      <c r="L42" s="729"/>
      <c r="M42" s="729"/>
      <c r="N42" s="729"/>
      <c r="O42" s="729"/>
      <c r="P42" s="729"/>
      <c r="Q42" s="729"/>
      <c r="R42" s="729"/>
      <c r="S42" s="729"/>
      <c r="T42" s="729"/>
      <c r="U42" s="729"/>
      <c r="V42" s="729"/>
      <c r="W42" s="729"/>
    </row>
    <row r="43" spans="1:23" s="730" customFormat="1">
      <c r="A43" s="740" t="s">
        <v>1554</v>
      </c>
      <c r="B43" s="775" t="s">
        <v>1557</v>
      </c>
      <c r="C43" s="729"/>
      <c r="D43" s="729"/>
      <c r="E43" s="729"/>
      <c r="F43" s="729"/>
      <c r="G43" s="750"/>
      <c r="H43" s="741">
        <v>43167</v>
      </c>
      <c r="I43" s="729"/>
      <c r="J43" s="729"/>
      <c r="K43" s="729"/>
      <c r="L43" s="729"/>
      <c r="M43" s="729"/>
      <c r="N43" s="729"/>
      <c r="O43" s="729"/>
      <c r="P43" s="729"/>
      <c r="Q43" s="729"/>
      <c r="R43" s="729"/>
      <c r="S43" s="729"/>
      <c r="T43" s="729"/>
      <c r="U43" s="729"/>
      <c r="V43" s="729"/>
      <c r="W43" s="729"/>
    </row>
    <row r="44" spans="1:23" s="730" customFormat="1" ht="45">
      <c r="A44" s="740" t="s">
        <v>1509</v>
      </c>
      <c r="B44" s="729" t="s">
        <v>1515</v>
      </c>
      <c r="C44" s="729"/>
      <c r="D44" s="729"/>
      <c r="E44" s="729"/>
      <c r="F44" s="729"/>
      <c r="G44" s="750"/>
      <c r="H44" s="741">
        <v>43167</v>
      </c>
      <c r="I44" s="729"/>
      <c r="J44" s="729"/>
      <c r="K44" s="729"/>
      <c r="L44" s="729"/>
      <c r="M44" s="729"/>
      <c r="N44" s="729"/>
      <c r="O44" s="729"/>
      <c r="P44" s="729"/>
      <c r="Q44" s="729"/>
      <c r="R44" s="729"/>
      <c r="S44" s="729"/>
      <c r="T44" s="729"/>
      <c r="U44" s="729"/>
      <c r="V44" s="729"/>
      <c r="W44" s="729"/>
    </row>
    <row r="45" spans="1:23" s="730" customFormat="1" ht="30">
      <c r="A45" s="740" t="s">
        <v>1513</v>
      </c>
      <c r="B45" s="729"/>
      <c r="C45" s="729"/>
      <c r="D45" s="729"/>
      <c r="E45" s="729"/>
      <c r="F45" s="747"/>
      <c r="H45" s="750" t="s">
        <v>1555</v>
      </c>
      <c r="I45" s="729"/>
      <c r="J45" s="729"/>
      <c r="K45" s="729"/>
      <c r="L45" s="729"/>
      <c r="M45" s="729"/>
      <c r="N45" s="729"/>
      <c r="O45" s="729"/>
      <c r="P45" s="729"/>
      <c r="Q45" s="729"/>
      <c r="R45" s="729"/>
      <c r="S45" s="729"/>
      <c r="T45" s="729"/>
      <c r="U45" s="729"/>
      <c r="V45" s="729"/>
      <c r="W45" s="729"/>
    </row>
    <row r="46" spans="1:23" s="730" customFormat="1">
      <c r="A46" s="740" t="s">
        <v>1490</v>
      </c>
      <c r="B46" s="729"/>
      <c r="C46" s="729"/>
      <c r="D46" s="729"/>
      <c r="E46" s="729"/>
      <c r="F46" s="729"/>
      <c r="G46" s="729"/>
      <c r="H46" s="741">
        <v>43172</v>
      </c>
      <c r="I46" s="729"/>
      <c r="J46" s="729"/>
      <c r="K46" s="729"/>
      <c r="L46" s="729"/>
      <c r="M46" s="729"/>
      <c r="N46" s="729"/>
      <c r="O46" s="729"/>
      <c r="P46" s="729"/>
      <c r="Q46" s="729"/>
      <c r="R46" s="729"/>
      <c r="S46" s="729"/>
      <c r="T46" s="729"/>
      <c r="U46" s="729"/>
      <c r="V46" s="729"/>
      <c r="W46" s="729"/>
    </row>
    <row r="47" spans="1:23" s="730" customFormat="1">
      <c r="A47" s="740" t="s">
        <v>1510</v>
      </c>
      <c r="B47" s="729"/>
      <c r="C47" s="729"/>
      <c r="D47" s="729"/>
      <c r="E47" s="729"/>
      <c r="F47" s="729"/>
      <c r="G47" s="729"/>
      <c r="H47" s="741">
        <v>43173</v>
      </c>
      <c r="I47" s="729"/>
      <c r="J47" s="729"/>
      <c r="K47" s="729"/>
      <c r="L47" s="729"/>
      <c r="M47" s="729"/>
      <c r="N47" s="729"/>
      <c r="O47" s="729"/>
      <c r="P47" s="729"/>
      <c r="Q47" s="729"/>
      <c r="R47" s="729"/>
      <c r="S47" s="729"/>
      <c r="T47" s="729"/>
      <c r="U47" s="729"/>
      <c r="V47" s="729"/>
      <c r="W47" s="729"/>
    </row>
    <row r="48" spans="1:23" s="730" customFormat="1">
      <c r="A48" s="740" t="s">
        <v>1560</v>
      </c>
      <c r="B48" s="729"/>
      <c r="C48" s="729"/>
      <c r="D48" s="729"/>
      <c r="E48" s="729"/>
      <c r="F48" s="729"/>
      <c r="G48" s="729"/>
      <c r="H48" s="741">
        <v>43173</v>
      </c>
      <c r="I48" s="729"/>
      <c r="J48" s="729"/>
      <c r="K48" s="729"/>
      <c r="L48" s="729"/>
      <c r="M48" s="729"/>
      <c r="N48" s="729"/>
      <c r="O48" s="729"/>
      <c r="P48" s="729"/>
      <c r="Q48" s="729"/>
      <c r="R48" s="729"/>
      <c r="S48" s="729"/>
      <c r="T48" s="729"/>
      <c r="U48" s="729"/>
      <c r="V48" s="729"/>
      <c r="W48" s="729"/>
    </row>
    <row r="49" spans="1:23" s="730" customFormat="1" ht="30">
      <c r="A49" s="740" t="s">
        <v>1564</v>
      </c>
      <c r="B49" s="851" t="s">
        <v>1576</v>
      </c>
      <c r="C49" s="729"/>
      <c r="D49" s="729"/>
      <c r="E49" s="729"/>
      <c r="F49" s="729"/>
      <c r="G49" s="729"/>
      <c r="H49" s="741">
        <v>43173</v>
      </c>
      <c r="I49" s="729"/>
      <c r="J49" s="729"/>
      <c r="K49" s="729"/>
      <c r="L49" s="729"/>
      <c r="M49" s="729"/>
      <c r="N49" s="729"/>
      <c r="O49" s="729"/>
      <c r="P49" s="729"/>
      <c r="Q49" s="729"/>
      <c r="R49" s="729"/>
      <c r="S49" s="729"/>
      <c r="T49" s="729"/>
      <c r="U49" s="729"/>
      <c r="V49" s="729"/>
      <c r="W49" s="729"/>
    </row>
    <row r="50" spans="1:23" s="730" customFormat="1">
      <c r="A50" s="740" t="s">
        <v>1574</v>
      </c>
      <c r="B50" s="851" t="s">
        <v>732</v>
      </c>
      <c r="C50" s="729"/>
      <c r="D50" s="729"/>
      <c r="E50" s="729"/>
      <c r="F50" s="729"/>
      <c r="G50" s="729"/>
      <c r="H50" s="741">
        <v>43174</v>
      </c>
      <c r="I50" s="729"/>
      <c r="J50" s="729"/>
      <c r="K50" s="729"/>
      <c r="L50" s="729"/>
      <c r="M50" s="729"/>
      <c r="N50" s="729"/>
      <c r="O50" s="729"/>
      <c r="P50" s="729"/>
      <c r="Q50" s="729"/>
      <c r="R50" s="729"/>
      <c r="S50" s="729"/>
      <c r="T50" s="729"/>
      <c r="U50" s="729"/>
      <c r="V50" s="729"/>
      <c r="W50" s="729"/>
    </row>
    <row r="51" spans="1:23" s="730" customFormat="1">
      <c r="A51" s="740" t="s">
        <v>1489</v>
      </c>
      <c r="B51" s="729"/>
      <c r="C51" s="729"/>
      <c r="D51" s="729"/>
      <c r="E51" s="729"/>
      <c r="F51" s="729"/>
      <c r="G51" s="729"/>
      <c r="H51" s="741">
        <v>43178</v>
      </c>
      <c r="I51" s="729"/>
      <c r="J51" s="729"/>
      <c r="K51" s="729"/>
      <c r="L51" s="729"/>
      <c r="M51" s="729"/>
      <c r="N51" s="729"/>
      <c r="O51" s="729"/>
      <c r="P51" s="729"/>
      <c r="Q51" s="729"/>
      <c r="R51" s="729"/>
      <c r="S51" s="729"/>
      <c r="T51" s="729"/>
      <c r="U51" s="729"/>
      <c r="V51" s="729"/>
      <c r="W51" s="729"/>
    </row>
    <row r="52" spans="1:23" s="730" customFormat="1">
      <c r="A52" s="740" t="s">
        <v>1561</v>
      </c>
      <c r="B52" s="1377" t="s">
        <v>1703</v>
      </c>
      <c r="C52" s="729"/>
      <c r="D52" s="729"/>
      <c r="E52" s="729"/>
      <c r="F52" s="729"/>
      <c r="G52" s="729"/>
      <c r="H52" s="741">
        <v>43178</v>
      </c>
      <c r="I52" s="729"/>
      <c r="J52" s="729"/>
      <c r="K52" s="729"/>
      <c r="L52" s="729"/>
      <c r="M52" s="729"/>
      <c r="N52" s="729"/>
      <c r="O52" s="729"/>
      <c r="P52" s="729"/>
      <c r="Q52" s="729"/>
      <c r="R52" s="729"/>
      <c r="S52" s="729"/>
      <c r="T52" s="729"/>
      <c r="U52" s="729"/>
      <c r="V52" s="729"/>
      <c r="W52" s="729"/>
    </row>
    <row r="53" spans="1:23" s="730" customFormat="1">
      <c r="A53" s="740" t="s">
        <v>1573</v>
      </c>
      <c r="B53" s="729"/>
      <c r="C53" s="729"/>
      <c r="D53" s="729"/>
      <c r="E53" s="729"/>
      <c r="F53" s="729"/>
      <c r="G53" s="729"/>
      <c r="H53" s="745">
        <v>43178</v>
      </c>
      <c r="I53" s="747"/>
      <c r="J53" s="747"/>
      <c r="K53" s="729"/>
      <c r="L53" s="729"/>
      <c r="M53" s="729"/>
      <c r="N53" s="729"/>
      <c r="O53" s="729"/>
      <c r="P53" s="729"/>
      <c r="Q53" s="729"/>
      <c r="R53" s="729"/>
      <c r="S53" s="729"/>
      <c r="T53" s="729"/>
      <c r="U53" s="729"/>
      <c r="V53" s="729"/>
      <c r="W53" s="729"/>
    </row>
    <row r="54" spans="1:23" s="849" customFormat="1">
      <c r="A54" s="849" t="s">
        <v>1575</v>
      </c>
      <c r="B54" s="849" t="s">
        <v>1130</v>
      </c>
      <c r="H54" s="850">
        <v>43179</v>
      </c>
    </row>
    <row r="55" spans="1:23" s="730" customFormat="1">
      <c r="A55" s="740" t="s">
        <v>1511</v>
      </c>
      <c r="B55" s="729"/>
      <c r="C55" s="729"/>
      <c r="D55" s="729"/>
      <c r="E55" s="729"/>
      <c r="F55" s="729"/>
      <c r="G55" s="729"/>
      <c r="H55" s="741">
        <v>43180</v>
      </c>
      <c r="I55" s="729"/>
      <c r="J55" s="729"/>
      <c r="K55" s="729"/>
      <c r="L55" s="729"/>
      <c r="M55" s="729"/>
      <c r="N55" s="729"/>
      <c r="O55" s="729"/>
      <c r="P55" s="729"/>
      <c r="Q55" s="729"/>
      <c r="R55" s="729"/>
      <c r="S55" s="729"/>
      <c r="T55" s="729"/>
      <c r="U55" s="729"/>
      <c r="V55" s="729"/>
      <c r="W55" s="729"/>
    </row>
    <row r="56" spans="1:23" s="730" customFormat="1">
      <c r="A56" s="740" t="s">
        <v>1562</v>
      </c>
      <c r="B56" s="1377" t="s">
        <v>1703</v>
      </c>
      <c r="C56" s="729"/>
      <c r="D56" s="729"/>
      <c r="E56" s="729"/>
      <c r="F56" s="729"/>
      <c r="G56" s="729"/>
      <c r="H56" s="745">
        <v>43180</v>
      </c>
      <c r="I56" s="747"/>
      <c r="J56" s="747"/>
      <c r="K56" s="729"/>
      <c r="L56" s="729"/>
      <c r="M56" s="729"/>
      <c r="N56" s="729"/>
      <c r="O56" s="729"/>
      <c r="P56" s="729"/>
      <c r="Q56" s="729"/>
      <c r="R56" s="729"/>
      <c r="S56" s="729"/>
      <c r="T56" s="729"/>
      <c r="U56" s="729"/>
      <c r="V56" s="729"/>
      <c r="W56" s="729"/>
    </row>
    <row r="57" spans="1:23" s="730" customFormat="1">
      <c r="A57" s="740" t="s">
        <v>1563</v>
      </c>
      <c r="B57" s="1377" t="s">
        <v>1703</v>
      </c>
      <c r="C57" s="729"/>
      <c r="D57" s="729"/>
      <c r="E57" s="729"/>
      <c r="F57" s="729"/>
      <c r="G57" s="729"/>
      <c r="H57" s="745">
        <v>43181</v>
      </c>
      <c r="I57" s="747"/>
      <c r="J57" s="747"/>
      <c r="K57" s="729"/>
      <c r="L57" s="729"/>
      <c r="M57" s="729"/>
      <c r="N57" s="729"/>
      <c r="O57" s="729"/>
      <c r="P57" s="729"/>
      <c r="Q57" s="729"/>
      <c r="R57" s="729"/>
      <c r="S57" s="729"/>
      <c r="T57" s="729"/>
      <c r="U57" s="729"/>
      <c r="V57" s="729"/>
      <c r="W57" s="729"/>
    </row>
    <row r="58" spans="1:23" s="730" customFormat="1">
      <c r="A58" s="740" t="s">
        <v>1512</v>
      </c>
      <c r="B58" s="729"/>
      <c r="C58" s="729"/>
      <c r="D58" s="729"/>
      <c r="E58" s="729"/>
      <c r="F58" s="729"/>
      <c r="G58" s="729"/>
      <c r="H58" s="741">
        <v>43182</v>
      </c>
      <c r="I58" s="729"/>
      <c r="J58" s="729"/>
      <c r="K58" s="729"/>
      <c r="L58" s="729"/>
      <c r="M58" s="729"/>
      <c r="N58" s="729"/>
      <c r="O58" s="729"/>
      <c r="P58" s="729"/>
      <c r="Q58" s="729"/>
      <c r="R58" s="729"/>
      <c r="S58" s="729"/>
      <c r="T58" s="729"/>
      <c r="U58" s="729"/>
      <c r="V58" s="729"/>
      <c r="W58" s="729"/>
    </row>
    <row r="59" spans="1:23" s="730" customFormat="1" ht="30">
      <c r="A59" s="750" t="s">
        <v>1553</v>
      </c>
      <c r="B59" s="729" t="s">
        <v>1514</v>
      </c>
      <c r="C59" s="729"/>
      <c r="D59" s="729"/>
      <c r="E59" s="729"/>
      <c r="F59" s="729"/>
      <c r="G59" s="729"/>
      <c r="H59" s="745">
        <v>43179</v>
      </c>
      <c r="I59" s="747"/>
      <c r="J59" s="747"/>
      <c r="K59" s="729"/>
      <c r="L59" s="729"/>
      <c r="M59" s="729"/>
      <c r="N59" s="729"/>
      <c r="O59" s="729"/>
      <c r="P59" s="729"/>
      <c r="Q59" s="729"/>
      <c r="R59" s="729"/>
      <c r="S59" s="729"/>
      <c r="T59" s="729"/>
      <c r="U59" s="729"/>
      <c r="V59" s="729"/>
      <c r="W59" s="729"/>
    </row>
    <row r="60" spans="1:23" s="730" customFormat="1">
      <c r="A60" s="750" t="s">
        <v>1702</v>
      </c>
      <c r="B60" s="729"/>
      <c r="C60" s="729"/>
      <c r="D60" s="729"/>
      <c r="E60" s="729"/>
      <c r="F60" s="729"/>
      <c r="G60" s="729"/>
      <c r="H60" s="745"/>
      <c r="I60" s="748">
        <v>43193</v>
      </c>
      <c r="J60" s="747"/>
      <c r="K60" s="729"/>
      <c r="L60" s="729"/>
      <c r="M60" s="729"/>
      <c r="N60" s="729"/>
      <c r="O60" s="729"/>
      <c r="P60" s="729"/>
      <c r="Q60" s="729"/>
      <c r="R60" s="729"/>
      <c r="S60" s="729"/>
      <c r="T60" s="729"/>
      <c r="U60" s="729"/>
      <c r="V60" s="729"/>
      <c r="W60" s="729"/>
    </row>
    <row r="61" spans="1:23" s="730" customFormat="1">
      <c r="A61" s="740" t="s">
        <v>1556</v>
      </c>
      <c r="B61" s="729"/>
      <c r="C61" s="729"/>
      <c r="D61" s="729"/>
      <c r="E61" s="729"/>
      <c r="F61" s="729"/>
      <c r="G61" s="729"/>
      <c r="I61" s="748">
        <v>43194</v>
      </c>
      <c r="J61" s="747"/>
      <c r="K61" s="729"/>
      <c r="L61" s="729"/>
      <c r="M61" s="729"/>
      <c r="N61" s="729"/>
      <c r="O61" s="729"/>
      <c r="P61" s="729"/>
      <c r="Q61" s="729"/>
      <c r="R61" s="729"/>
      <c r="S61" s="729"/>
      <c r="T61" s="729"/>
      <c r="U61" s="729"/>
      <c r="V61" s="729"/>
      <c r="W61" s="729"/>
    </row>
    <row r="62" spans="1:23" s="730" customFormat="1">
      <c r="A62" s="740" t="s">
        <v>1701</v>
      </c>
      <c r="B62" s="729"/>
      <c r="C62" s="729"/>
      <c r="D62" s="729"/>
      <c r="E62" s="729"/>
      <c r="F62" s="729"/>
      <c r="G62" s="729"/>
      <c r="I62" s="748">
        <v>43200</v>
      </c>
      <c r="J62" s="747"/>
      <c r="K62" s="729"/>
      <c r="L62" s="729"/>
      <c r="M62" s="729"/>
      <c r="N62" s="729"/>
      <c r="O62" s="729"/>
      <c r="P62" s="729"/>
      <c r="Q62" s="729"/>
      <c r="R62" s="729"/>
      <c r="S62" s="729"/>
      <c r="T62" s="729"/>
      <c r="U62" s="729"/>
      <c r="V62" s="729"/>
      <c r="W62" s="729"/>
    </row>
    <row r="63" spans="1:23" s="730" customFormat="1">
      <c r="A63" s="776" t="s">
        <v>1490</v>
      </c>
      <c r="I63" s="748">
        <v>43200</v>
      </c>
      <c r="J63" s="747"/>
      <c r="K63" s="729"/>
      <c r="L63" s="729"/>
      <c r="M63" s="729"/>
      <c r="N63" s="729"/>
      <c r="O63" s="729"/>
      <c r="P63" s="729"/>
      <c r="Q63" s="729"/>
      <c r="R63" s="729"/>
      <c r="S63" s="729"/>
      <c r="T63" s="729"/>
      <c r="U63" s="729"/>
      <c r="V63" s="729"/>
      <c r="W63" s="729"/>
    </row>
    <row r="64" spans="1:23" s="730" customFormat="1">
      <c r="A64" s="1378" t="s">
        <v>1704</v>
      </c>
      <c r="I64" s="748">
        <v>43200</v>
      </c>
      <c r="J64" s="747"/>
      <c r="K64" s="729"/>
      <c r="L64" s="729"/>
      <c r="M64" s="729"/>
      <c r="N64" s="729"/>
      <c r="O64" s="729"/>
      <c r="P64" s="729"/>
      <c r="Q64" s="729"/>
      <c r="R64" s="729"/>
      <c r="S64" s="729"/>
      <c r="T64" s="729"/>
      <c r="U64" s="729"/>
      <c r="V64" s="729"/>
      <c r="W64" s="729"/>
    </row>
    <row r="65" spans="1:23" s="730" customFormat="1">
      <c r="A65" s="1378"/>
      <c r="I65" s="747"/>
      <c r="J65" s="747"/>
      <c r="K65" s="729"/>
      <c r="L65" s="729"/>
      <c r="M65" s="729"/>
      <c r="N65" s="729"/>
      <c r="O65" s="729"/>
      <c r="P65" s="729"/>
      <c r="Q65" s="729"/>
      <c r="R65" s="729"/>
      <c r="S65" s="729"/>
      <c r="T65" s="729"/>
      <c r="U65" s="729"/>
      <c r="V65" s="729"/>
      <c r="W65" s="729"/>
    </row>
    <row r="66" spans="1:23" s="730" customFormat="1">
      <c r="A66" s="740" t="s">
        <v>1106</v>
      </c>
      <c r="B66" s="729"/>
      <c r="C66" s="729"/>
      <c r="D66" s="729"/>
      <c r="E66" s="729"/>
      <c r="F66" s="729"/>
      <c r="G66" s="729"/>
      <c r="H66" s="729"/>
      <c r="I66" s="729"/>
      <c r="J66" s="750" t="s">
        <v>1107</v>
      </c>
      <c r="K66" s="729"/>
      <c r="L66" s="729"/>
      <c r="M66" s="729"/>
      <c r="N66" s="729"/>
      <c r="O66" s="729"/>
      <c r="P66" s="729"/>
      <c r="Q66" s="729"/>
      <c r="R66" s="729"/>
      <c r="S66" s="729"/>
      <c r="T66" s="729"/>
      <c r="U66" s="729"/>
      <c r="V66" s="729"/>
      <c r="W66" s="729"/>
    </row>
    <row r="67" spans="1:23" s="730" customFormat="1">
      <c r="A67" s="729"/>
      <c r="B67" s="729"/>
      <c r="C67" s="729"/>
      <c r="D67" s="729"/>
      <c r="E67" s="729"/>
      <c r="F67" s="729"/>
      <c r="G67" s="729"/>
      <c r="H67" s="729"/>
      <c r="I67" s="729"/>
      <c r="J67" s="729"/>
      <c r="K67" s="729"/>
      <c r="L67" s="729"/>
      <c r="M67" s="729"/>
      <c r="N67" s="729"/>
      <c r="O67" s="729"/>
      <c r="P67" s="729"/>
      <c r="Q67" s="729"/>
      <c r="R67" s="729"/>
      <c r="S67" s="729"/>
      <c r="T67" s="729"/>
      <c r="U67" s="729"/>
      <c r="V67" s="729"/>
      <c r="W67" s="729"/>
    </row>
    <row r="68" spans="1:23" s="730" customFormat="1">
      <c r="A68" s="729"/>
      <c r="B68" s="729"/>
      <c r="C68" s="729"/>
      <c r="D68" s="729"/>
      <c r="E68" s="729"/>
      <c r="F68" s="729"/>
      <c r="G68" s="729"/>
      <c r="H68" s="729"/>
      <c r="I68" s="729"/>
      <c r="J68" s="729"/>
      <c r="K68" s="729"/>
      <c r="L68" s="729"/>
      <c r="M68" s="729"/>
      <c r="N68" s="729"/>
      <c r="O68" s="729"/>
      <c r="P68" s="729"/>
      <c r="Q68" s="729"/>
      <c r="R68" s="729"/>
      <c r="S68" s="729"/>
      <c r="T68" s="729"/>
      <c r="U68" s="729"/>
      <c r="V68" s="729"/>
      <c r="W68" s="729"/>
    </row>
    <row r="69" spans="1:23" s="730" customFormat="1">
      <c r="A69" s="729"/>
      <c r="B69" s="729"/>
      <c r="C69" s="729"/>
      <c r="D69" s="729"/>
      <c r="E69" s="729"/>
      <c r="F69" s="729"/>
      <c r="G69" s="729"/>
      <c r="H69" s="729"/>
      <c r="I69" s="729"/>
      <c r="J69" s="729"/>
      <c r="K69" s="729"/>
      <c r="L69" s="729"/>
      <c r="M69" s="729"/>
      <c r="N69" s="729"/>
      <c r="O69" s="729"/>
      <c r="P69" s="729"/>
      <c r="Q69" s="729"/>
      <c r="R69" s="729"/>
      <c r="S69" s="729"/>
      <c r="T69" s="729"/>
      <c r="U69" s="729"/>
      <c r="V69" s="729"/>
      <c r="W69" s="729"/>
    </row>
    <row r="70" spans="1:23" s="730" customFormat="1">
      <c r="A70" s="729"/>
      <c r="B70" s="729"/>
      <c r="C70" s="729"/>
      <c r="D70" s="729"/>
      <c r="E70" s="729"/>
      <c r="F70" s="729"/>
      <c r="G70" s="729"/>
      <c r="H70" s="729"/>
      <c r="I70" s="729"/>
      <c r="J70" s="729"/>
      <c r="K70" s="729"/>
      <c r="L70" s="729"/>
      <c r="M70" s="729"/>
      <c r="N70" s="729"/>
      <c r="O70" s="729"/>
      <c r="P70" s="729"/>
      <c r="Q70" s="729"/>
      <c r="R70" s="729"/>
      <c r="S70" s="729"/>
      <c r="T70" s="729"/>
      <c r="U70" s="729"/>
      <c r="V70" s="729"/>
      <c r="W70" s="729"/>
    </row>
  </sheetData>
  <mergeCells count="3">
    <mergeCell ref="B1:K1"/>
    <mergeCell ref="L1:W1"/>
    <mergeCell ref="A33:A39"/>
  </mergeCells>
  <pageMargins left="0.7" right="0.7" top="0.75" bottom="0.75" header="0.3" footer="0.3"/>
  <pageSetup scale="57"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opLeftCell="C1" zoomScale="160" zoomScaleNormal="160" workbookViewId="0">
      <selection activeCell="F20" sqref="F20"/>
    </sheetView>
  </sheetViews>
  <sheetFormatPr defaultColWidth="8.75" defaultRowHeight="15"/>
  <cols>
    <col min="1" max="1" width="42.75" style="376" hidden="1" customWidth="1"/>
    <col min="2" max="2" width="4.125" style="376" hidden="1" customWidth="1"/>
    <col min="3" max="3" width="49.75" style="376" customWidth="1"/>
    <col min="4" max="4" width="10.25" style="376" customWidth="1"/>
    <col min="5" max="5" width="8.75" style="376"/>
    <col min="6" max="6" width="10.875" style="376" customWidth="1"/>
    <col min="7" max="7" width="10.25" style="376" customWidth="1"/>
    <col min="8" max="16384" width="8.75" style="376"/>
  </cols>
  <sheetData>
    <row r="1" spans="1:7" ht="18.75">
      <c r="A1" s="381" t="s">
        <v>823</v>
      </c>
      <c r="B1" s="381"/>
      <c r="C1" s="400" t="s">
        <v>822</v>
      </c>
      <c r="D1" s="400"/>
    </row>
    <row r="2" spans="1:7" ht="18.75">
      <c r="B2" s="381"/>
      <c r="C2" s="400" t="s">
        <v>821</v>
      </c>
      <c r="D2" s="400"/>
    </row>
    <row r="3" spans="1:7" ht="18.75">
      <c r="B3" s="381"/>
    </row>
    <row r="4" spans="1:7" ht="18.75">
      <c r="A4" s="381" t="s">
        <v>820</v>
      </c>
      <c r="B4" s="381"/>
      <c r="C4" s="381" t="s">
        <v>820</v>
      </c>
      <c r="D4" s="380"/>
    </row>
    <row r="5" spans="1:7" ht="18.75">
      <c r="B5" s="399"/>
      <c r="C5" s="380" t="s">
        <v>837</v>
      </c>
    </row>
    <row r="6" spans="1:7" ht="15.75" thickBot="1">
      <c r="A6" s="379" t="s">
        <v>780</v>
      </c>
      <c r="B6" s="388"/>
      <c r="C6" s="401" t="s">
        <v>779</v>
      </c>
      <c r="D6" s="401" t="s">
        <v>824</v>
      </c>
      <c r="E6" s="401" t="s">
        <v>819</v>
      </c>
      <c r="F6" s="401" t="s">
        <v>818</v>
      </c>
      <c r="G6" s="401" t="s">
        <v>817</v>
      </c>
    </row>
    <row r="7" spans="1:7" ht="15.75" thickTop="1">
      <c r="A7" s="398" t="s">
        <v>816</v>
      </c>
      <c r="B7" s="388"/>
      <c r="C7" s="379" t="s">
        <v>826</v>
      </c>
      <c r="D7" s="379"/>
    </row>
    <row r="8" spans="1:7">
      <c r="A8" s="390" t="s">
        <v>815</v>
      </c>
      <c r="B8" s="389"/>
      <c r="C8" s="376" t="s">
        <v>813</v>
      </c>
      <c r="G8" s="376" t="s">
        <v>71</v>
      </c>
    </row>
    <row r="9" spans="1:7">
      <c r="A9" s="390" t="s">
        <v>814</v>
      </c>
      <c r="B9" s="389"/>
      <c r="C9" s="383" t="s">
        <v>829</v>
      </c>
    </row>
    <row r="10" spans="1:7" ht="30">
      <c r="A10" s="390" t="s">
        <v>812</v>
      </c>
      <c r="B10" s="389"/>
      <c r="C10" s="383" t="s">
        <v>827</v>
      </c>
    </row>
    <row r="11" spans="1:7" ht="30">
      <c r="A11" s="390" t="s">
        <v>811</v>
      </c>
      <c r="B11" s="389"/>
      <c r="C11" s="383" t="s">
        <v>828</v>
      </c>
      <c r="D11" s="383"/>
      <c r="G11" s="376" t="s">
        <v>74</v>
      </c>
    </row>
    <row r="12" spans="1:7">
      <c r="A12" s="395"/>
      <c r="B12" s="378"/>
    </row>
    <row r="13" spans="1:7">
      <c r="A13" s="398" t="s">
        <v>810</v>
      </c>
      <c r="B13" s="388"/>
      <c r="C13" s="379" t="s">
        <v>810</v>
      </c>
      <c r="D13" s="379"/>
    </row>
    <row r="14" spans="1:7">
      <c r="A14" s="390" t="s">
        <v>809</v>
      </c>
      <c r="B14" s="389"/>
      <c r="C14" s="383" t="s">
        <v>808</v>
      </c>
    </row>
    <row r="15" spans="1:7">
      <c r="A15" s="390" t="s">
        <v>807</v>
      </c>
      <c r="B15" s="389"/>
      <c r="C15" s="383" t="s">
        <v>805</v>
      </c>
    </row>
    <row r="16" spans="1:7">
      <c r="A16" s="390" t="s">
        <v>806</v>
      </c>
      <c r="B16" s="389"/>
      <c r="C16" s="383" t="s">
        <v>830</v>
      </c>
    </row>
    <row r="17" spans="1:7">
      <c r="A17" s="390" t="s">
        <v>804</v>
      </c>
      <c r="B17" s="389"/>
      <c r="C17" s="383" t="s">
        <v>831</v>
      </c>
      <c r="D17" s="383"/>
    </row>
    <row r="18" spans="1:7">
      <c r="A18" s="390" t="s">
        <v>803</v>
      </c>
      <c r="B18" s="378"/>
      <c r="C18" s="383" t="s">
        <v>832</v>
      </c>
    </row>
    <row r="19" spans="1:7">
      <c r="A19" s="390" t="s">
        <v>802</v>
      </c>
      <c r="B19" s="389"/>
    </row>
    <row r="20" spans="1:7">
      <c r="A20" s="398" t="s">
        <v>801</v>
      </c>
      <c r="B20" s="388"/>
      <c r="C20" s="398" t="s">
        <v>801</v>
      </c>
      <c r="D20" s="398"/>
    </row>
    <row r="21" spans="1:7">
      <c r="A21" s="390" t="s">
        <v>800</v>
      </c>
      <c r="B21" s="389"/>
      <c r="C21" s="383" t="s">
        <v>799</v>
      </c>
    </row>
    <row r="22" spans="1:7" ht="30">
      <c r="A22" s="397" t="s">
        <v>798</v>
      </c>
      <c r="B22" s="396"/>
      <c r="C22" s="383" t="s">
        <v>797</v>
      </c>
      <c r="D22" s="383"/>
    </row>
    <row r="23" spans="1:7" ht="45">
      <c r="A23" s="395"/>
      <c r="B23" s="378"/>
      <c r="C23" s="383" t="s">
        <v>833</v>
      </c>
    </row>
    <row r="24" spans="1:7">
      <c r="A24" s="395"/>
      <c r="B24" s="378"/>
      <c r="C24" s="383" t="s">
        <v>834</v>
      </c>
    </row>
    <row r="25" spans="1:7">
      <c r="A25" s="395"/>
      <c r="B25" s="378"/>
    </row>
    <row r="26" spans="1:7">
      <c r="A26" s="394" t="s">
        <v>796</v>
      </c>
      <c r="B26" s="393"/>
      <c r="C26" s="392" t="s">
        <v>796</v>
      </c>
      <c r="D26" s="392"/>
    </row>
    <row r="27" spans="1:7" ht="30">
      <c r="A27" s="391" t="s">
        <v>795</v>
      </c>
      <c r="B27" s="389"/>
      <c r="C27" s="383" t="s">
        <v>835</v>
      </c>
      <c r="D27" s="383"/>
      <c r="G27" s="376" t="s">
        <v>74</v>
      </c>
    </row>
    <row r="28" spans="1:7">
      <c r="A28" s="390" t="s">
        <v>794</v>
      </c>
      <c r="B28" s="389"/>
    </row>
    <row r="29" spans="1:7">
      <c r="A29" s="378"/>
      <c r="B29" s="378"/>
      <c r="C29" s="378"/>
      <c r="D29" s="378"/>
    </row>
    <row r="30" spans="1:7" ht="18.75">
      <c r="A30" s="381" t="s">
        <v>717</v>
      </c>
      <c r="C30" s="381" t="s">
        <v>717</v>
      </c>
    </row>
    <row r="31" spans="1:7" ht="15.75">
      <c r="C31" s="380" t="s">
        <v>836</v>
      </c>
      <c r="D31" s="380"/>
    </row>
    <row r="32" spans="1:7">
      <c r="B32" s="378"/>
    </row>
    <row r="33" spans="1:7">
      <c r="A33" s="387" t="s">
        <v>793</v>
      </c>
      <c r="B33" s="378"/>
      <c r="C33" s="387" t="s">
        <v>793</v>
      </c>
      <c r="D33" s="387"/>
    </row>
    <row r="34" spans="1:7">
      <c r="A34" s="386" t="s">
        <v>792</v>
      </c>
      <c r="B34" s="378"/>
      <c r="C34" s="376" t="s">
        <v>839</v>
      </c>
      <c r="G34" s="402">
        <v>43101</v>
      </c>
    </row>
    <row r="35" spans="1:7">
      <c r="A35" s="385" t="s">
        <v>791</v>
      </c>
      <c r="B35" s="378"/>
      <c r="C35" s="376" t="s">
        <v>838</v>
      </c>
      <c r="G35" s="402">
        <v>43435</v>
      </c>
    </row>
    <row r="36" spans="1:7">
      <c r="A36" s="384" t="s">
        <v>790</v>
      </c>
      <c r="B36" s="378"/>
    </row>
    <row r="37" spans="1:7">
      <c r="A37" s="376" t="s">
        <v>789</v>
      </c>
      <c r="B37" s="378"/>
    </row>
    <row r="38" spans="1:7">
      <c r="A38" s="378"/>
      <c r="B38" s="378"/>
      <c r="C38" s="378"/>
      <c r="D38" s="378"/>
    </row>
    <row r="39" spans="1:7" ht="18.75">
      <c r="A39" s="381" t="s">
        <v>788</v>
      </c>
      <c r="C39" s="381" t="s">
        <v>788</v>
      </c>
    </row>
    <row r="40" spans="1:7" ht="15.75">
      <c r="C40" s="380" t="s">
        <v>825</v>
      </c>
      <c r="D40" s="380"/>
    </row>
    <row r="41" spans="1:7">
      <c r="B41" s="378"/>
    </row>
    <row r="42" spans="1:7" ht="30">
      <c r="A42" s="382" t="s">
        <v>787</v>
      </c>
      <c r="B42" s="378"/>
      <c r="C42" s="383" t="s">
        <v>786</v>
      </c>
      <c r="D42" s="383"/>
      <c r="G42" s="403">
        <v>43084</v>
      </c>
    </row>
    <row r="43" spans="1:7" ht="45">
      <c r="A43" s="382" t="s">
        <v>785</v>
      </c>
      <c r="B43" s="378"/>
      <c r="C43" s="383" t="s">
        <v>784</v>
      </c>
      <c r="D43" s="383"/>
      <c r="G43" s="403">
        <v>43084</v>
      </c>
    </row>
    <row r="44" spans="1:7">
      <c r="A44" s="382" t="s">
        <v>783</v>
      </c>
      <c r="B44" s="378"/>
    </row>
    <row r="45" spans="1:7">
      <c r="A45" s="378"/>
      <c r="B45" s="378"/>
      <c r="C45" s="378"/>
      <c r="D45" s="378"/>
    </row>
    <row r="46" spans="1:7" ht="18.75">
      <c r="A46" s="381" t="s">
        <v>782</v>
      </c>
      <c r="C46" s="381" t="s">
        <v>782</v>
      </c>
    </row>
    <row r="47" spans="1:7" ht="15.75">
      <c r="C47" s="380" t="s">
        <v>781</v>
      </c>
      <c r="D47" s="380"/>
    </row>
    <row r="48" spans="1:7">
      <c r="B48" s="378"/>
    </row>
    <row r="49" spans="1:7">
      <c r="A49" s="377" t="s">
        <v>778</v>
      </c>
      <c r="B49" s="378"/>
      <c r="C49" s="383" t="s">
        <v>840</v>
      </c>
      <c r="G49" s="403">
        <v>42736</v>
      </c>
    </row>
    <row r="50" spans="1:7" ht="30">
      <c r="A50" s="377" t="s">
        <v>777</v>
      </c>
      <c r="B50" s="378"/>
      <c r="C50" s="383" t="s">
        <v>841</v>
      </c>
      <c r="G50" s="403">
        <v>42979</v>
      </c>
    </row>
    <row r="51" spans="1:7">
      <c r="A51" s="377" t="s">
        <v>776</v>
      </c>
      <c r="B51" s="378"/>
    </row>
    <row r="52" spans="1:7">
      <c r="A52" s="378"/>
      <c r="B52" s="378"/>
      <c r="C52" s="378"/>
      <c r="D52" s="378"/>
    </row>
    <row r="53" spans="1:7">
      <c r="A53" s="377"/>
    </row>
  </sheetData>
  <pageMargins left="0.7" right="0.7" top="0.75" bottom="0.75" header="0.3" footer="0.3"/>
  <pageSetup scale="9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opLeftCell="C1" zoomScale="125" zoomScaleNormal="125" workbookViewId="0">
      <selection activeCell="H4" sqref="H4"/>
    </sheetView>
  </sheetViews>
  <sheetFormatPr defaultColWidth="8.75" defaultRowHeight="15"/>
  <cols>
    <col min="1" max="1" width="42.75" style="383" hidden="1" customWidth="1"/>
    <col min="2" max="2" width="4.125" style="383" hidden="1" customWidth="1"/>
    <col min="3" max="3" width="53" style="383" customWidth="1"/>
    <col min="4" max="4" width="10.25" style="383" customWidth="1"/>
    <col min="5" max="5" width="8.75" style="383"/>
    <col min="6" max="6" width="10.875" style="383" customWidth="1"/>
    <col min="7" max="7" width="10.25" style="383" customWidth="1"/>
    <col min="8" max="16384" width="8.75" style="383"/>
  </cols>
  <sheetData>
    <row r="1" spans="1:7" ht="18.75">
      <c r="A1" s="754" t="s">
        <v>823</v>
      </c>
      <c r="B1" s="754"/>
      <c r="C1" s="770" t="s">
        <v>822</v>
      </c>
      <c r="D1" s="770"/>
      <c r="E1" s="771"/>
      <c r="F1" s="771"/>
      <c r="G1" s="771"/>
    </row>
    <row r="2" spans="1:7" ht="18.75">
      <c r="B2" s="754"/>
      <c r="C2" s="770" t="s">
        <v>821</v>
      </c>
      <c r="D2" s="770"/>
      <c r="E2" s="771"/>
      <c r="F2" s="771"/>
      <c r="G2" s="771"/>
    </row>
    <row r="3" spans="1:7" ht="18.75">
      <c r="B3" s="754"/>
    </row>
    <row r="4" spans="1:7" ht="18.75">
      <c r="A4" s="754" t="s">
        <v>820</v>
      </c>
      <c r="B4" s="754"/>
      <c r="C4" s="754" t="s">
        <v>820</v>
      </c>
      <c r="D4" s="755"/>
    </row>
    <row r="5" spans="1:7" ht="18.75">
      <c r="B5" s="756"/>
      <c r="C5" s="755" t="s">
        <v>1537</v>
      </c>
    </row>
    <row r="6" spans="1:7" ht="15.75" thickBot="1">
      <c r="A6" s="753" t="s">
        <v>780</v>
      </c>
      <c r="B6" s="757"/>
      <c r="C6" s="758" t="s">
        <v>779</v>
      </c>
      <c r="D6" s="758" t="s">
        <v>824</v>
      </c>
      <c r="E6" s="758" t="s">
        <v>819</v>
      </c>
      <c r="F6" s="758" t="s">
        <v>818</v>
      </c>
      <c r="G6" s="758" t="s">
        <v>817</v>
      </c>
    </row>
    <row r="7" spans="1:7" ht="15.75" thickTop="1">
      <c r="A7" s="759" t="s">
        <v>816</v>
      </c>
      <c r="B7" s="757"/>
      <c r="C7" s="753" t="s">
        <v>1544</v>
      </c>
      <c r="D7" s="753"/>
    </row>
    <row r="8" spans="1:7">
      <c r="A8" s="390" t="s">
        <v>815</v>
      </c>
      <c r="B8" s="760"/>
      <c r="C8" s="383" t="s">
        <v>813</v>
      </c>
      <c r="G8" s="751" t="s">
        <v>1524</v>
      </c>
    </row>
    <row r="9" spans="1:7">
      <c r="A9" s="390" t="s">
        <v>814</v>
      </c>
      <c r="B9" s="760"/>
      <c r="C9" s="751" t="s">
        <v>1525</v>
      </c>
      <c r="G9" s="751" t="s">
        <v>72</v>
      </c>
    </row>
    <row r="10" spans="1:7" ht="30">
      <c r="A10" s="390" t="s">
        <v>812</v>
      </c>
      <c r="B10" s="760"/>
      <c r="C10" s="751" t="s">
        <v>1526</v>
      </c>
      <c r="G10" s="751" t="s">
        <v>73</v>
      </c>
    </row>
    <row r="11" spans="1:7" ht="45">
      <c r="A11" s="390" t="s">
        <v>811</v>
      </c>
      <c r="B11" s="760"/>
      <c r="C11" s="751" t="s">
        <v>1527</v>
      </c>
      <c r="G11" s="383" t="s">
        <v>74</v>
      </c>
    </row>
    <row r="12" spans="1:7">
      <c r="A12" s="761"/>
      <c r="B12" s="396"/>
    </row>
    <row r="13" spans="1:7">
      <c r="A13" s="759" t="s">
        <v>810</v>
      </c>
      <c r="B13" s="757"/>
      <c r="C13" s="753" t="s">
        <v>810</v>
      </c>
      <c r="D13" s="753"/>
    </row>
    <row r="14" spans="1:7">
      <c r="A14" s="390" t="s">
        <v>809</v>
      </c>
      <c r="B14" s="760"/>
      <c r="C14" s="751" t="s">
        <v>1545</v>
      </c>
      <c r="G14" s="751" t="s">
        <v>74</v>
      </c>
    </row>
    <row r="15" spans="1:7" ht="30">
      <c r="A15" s="390" t="s">
        <v>807</v>
      </c>
      <c r="B15" s="760"/>
      <c r="C15" s="751" t="s">
        <v>1546</v>
      </c>
      <c r="G15" s="751" t="s">
        <v>74</v>
      </c>
    </row>
    <row r="16" spans="1:7">
      <c r="A16" s="390" t="s">
        <v>806</v>
      </c>
      <c r="B16" s="760"/>
      <c r="C16" s="751" t="s">
        <v>1528</v>
      </c>
      <c r="G16" s="751" t="s">
        <v>74</v>
      </c>
    </row>
    <row r="17" spans="1:7">
      <c r="A17" s="390" t="s">
        <v>802</v>
      </c>
      <c r="B17" s="760"/>
    </row>
    <row r="18" spans="1:7">
      <c r="A18" s="759" t="s">
        <v>801</v>
      </c>
      <c r="B18" s="757"/>
      <c r="C18" s="759" t="s">
        <v>1533</v>
      </c>
      <c r="D18" s="759"/>
    </row>
    <row r="19" spans="1:7">
      <c r="A19" s="390" t="s">
        <v>800</v>
      </c>
      <c r="B19" s="760"/>
      <c r="C19" s="383" t="s">
        <v>799</v>
      </c>
      <c r="G19" s="751" t="s">
        <v>1529</v>
      </c>
    </row>
    <row r="20" spans="1:7" ht="30">
      <c r="A20" s="397" t="s">
        <v>798</v>
      </c>
      <c r="B20" s="396"/>
      <c r="C20" s="751" t="s">
        <v>1531</v>
      </c>
      <c r="G20" s="751" t="s">
        <v>1529</v>
      </c>
    </row>
    <row r="21" spans="1:7">
      <c r="A21" s="761"/>
      <c r="B21" s="396"/>
      <c r="C21" s="751" t="s">
        <v>1530</v>
      </c>
      <c r="G21" s="751" t="s">
        <v>1529</v>
      </c>
    </row>
    <row r="22" spans="1:7">
      <c r="A22" s="761"/>
      <c r="B22" s="396"/>
      <c r="C22" s="751" t="s">
        <v>1532</v>
      </c>
      <c r="G22" s="751" t="s">
        <v>76</v>
      </c>
    </row>
    <row r="23" spans="1:7">
      <c r="A23" s="761"/>
      <c r="B23" s="396"/>
    </row>
    <row r="24" spans="1:7">
      <c r="A24" s="394" t="s">
        <v>796</v>
      </c>
      <c r="B24" s="762"/>
      <c r="C24" s="392" t="s">
        <v>796</v>
      </c>
      <c r="D24" s="392"/>
    </row>
    <row r="25" spans="1:7" ht="30">
      <c r="A25" s="391" t="s">
        <v>795</v>
      </c>
      <c r="B25" s="760"/>
      <c r="C25" s="383" t="s">
        <v>835</v>
      </c>
      <c r="G25" s="383" t="s">
        <v>74</v>
      </c>
    </row>
    <row r="26" spans="1:7">
      <c r="A26" s="391"/>
      <c r="B26" s="760"/>
    </row>
    <row r="27" spans="1:7">
      <c r="A27" s="391"/>
      <c r="B27" s="760"/>
      <c r="C27" s="753" t="s">
        <v>1541</v>
      </c>
    </row>
    <row r="28" spans="1:7" ht="30">
      <c r="A28" s="390" t="s">
        <v>794</v>
      </c>
      <c r="B28" s="760"/>
      <c r="C28" s="751" t="s">
        <v>1542</v>
      </c>
      <c r="G28" s="751" t="s">
        <v>1543</v>
      </c>
    </row>
    <row r="29" spans="1:7">
      <c r="A29" s="396"/>
      <c r="B29" s="396"/>
      <c r="C29" s="396"/>
      <c r="D29" s="396"/>
    </row>
    <row r="30" spans="1:7" ht="18.75">
      <c r="A30" s="754" t="s">
        <v>717</v>
      </c>
      <c r="C30" s="754" t="s">
        <v>717</v>
      </c>
    </row>
    <row r="31" spans="1:7" ht="15.75">
      <c r="C31" s="755" t="s">
        <v>1536</v>
      </c>
      <c r="D31" s="755"/>
    </row>
    <row r="32" spans="1:7">
      <c r="B32" s="396"/>
    </row>
    <row r="33" spans="1:7">
      <c r="A33" s="763" t="s">
        <v>793</v>
      </c>
      <c r="B33" s="396"/>
      <c r="C33" s="763" t="s">
        <v>793</v>
      </c>
      <c r="D33" s="763"/>
    </row>
    <row r="34" spans="1:7">
      <c r="A34" s="764" t="s">
        <v>792</v>
      </c>
      <c r="B34" s="396"/>
      <c r="C34" s="383" t="s">
        <v>839</v>
      </c>
      <c r="G34" s="765">
        <v>43101</v>
      </c>
    </row>
    <row r="35" spans="1:7" ht="30">
      <c r="A35" s="766" t="s">
        <v>791</v>
      </c>
      <c r="B35" s="396"/>
      <c r="C35" s="383" t="s">
        <v>838</v>
      </c>
      <c r="G35" s="765">
        <v>43435</v>
      </c>
    </row>
    <row r="36" spans="1:7">
      <c r="A36" s="767" t="s">
        <v>790</v>
      </c>
      <c r="B36" s="396"/>
    </row>
    <row r="37" spans="1:7">
      <c r="A37" s="383" t="s">
        <v>789</v>
      </c>
      <c r="B37" s="396"/>
    </row>
    <row r="38" spans="1:7">
      <c r="A38" s="396"/>
      <c r="B38" s="396"/>
      <c r="C38" s="396"/>
      <c r="D38" s="396"/>
    </row>
    <row r="39" spans="1:7" ht="18.75">
      <c r="A39" s="754" t="s">
        <v>788</v>
      </c>
      <c r="C39" s="754" t="s">
        <v>788</v>
      </c>
    </row>
    <row r="40" spans="1:7" ht="15.75">
      <c r="C40" s="755" t="s">
        <v>1535</v>
      </c>
      <c r="D40" s="755"/>
    </row>
    <row r="41" spans="1:7">
      <c r="B41" s="396"/>
    </row>
    <row r="42" spans="1:7" ht="36.75">
      <c r="A42" s="382" t="s">
        <v>787</v>
      </c>
      <c r="B42" s="396"/>
      <c r="C42" s="383" t="s">
        <v>786</v>
      </c>
      <c r="F42" s="752" t="s">
        <v>1534</v>
      </c>
      <c r="G42" s="768" t="s">
        <v>1524</v>
      </c>
    </row>
    <row r="43" spans="1:7" ht="45">
      <c r="A43" s="382" t="s">
        <v>785</v>
      </c>
      <c r="B43" s="396"/>
      <c r="C43" s="383" t="s">
        <v>784</v>
      </c>
      <c r="F43" s="752" t="s">
        <v>1534</v>
      </c>
      <c r="G43" s="768" t="s">
        <v>1524</v>
      </c>
    </row>
    <row r="44" spans="1:7">
      <c r="A44" s="382"/>
      <c r="B44" s="396"/>
      <c r="C44" s="751" t="s">
        <v>1539</v>
      </c>
      <c r="F44" s="752"/>
      <c r="G44" s="768" t="s">
        <v>1540</v>
      </c>
    </row>
    <row r="45" spans="1:7">
      <c r="A45" s="382" t="s">
        <v>783</v>
      </c>
      <c r="B45" s="396"/>
    </row>
    <row r="46" spans="1:7">
      <c r="A46" s="396"/>
      <c r="B46" s="396"/>
      <c r="C46" s="396"/>
      <c r="D46" s="396"/>
    </row>
    <row r="47" spans="1:7" ht="18.75">
      <c r="A47" s="754" t="s">
        <v>782</v>
      </c>
      <c r="C47" s="754" t="s">
        <v>782</v>
      </c>
    </row>
    <row r="48" spans="1:7" ht="15.75">
      <c r="C48" s="755" t="s">
        <v>1538</v>
      </c>
      <c r="D48" s="755"/>
    </row>
    <row r="49" spans="1:7">
      <c r="B49" s="396"/>
    </row>
    <row r="50" spans="1:7">
      <c r="A50" s="391" t="s">
        <v>778</v>
      </c>
      <c r="B50" s="396"/>
      <c r="C50" s="383" t="s">
        <v>840</v>
      </c>
      <c r="G50" s="769">
        <v>42736</v>
      </c>
    </row>
    <row r="51" spans="1:7" ht="15" customHeight="1">
      <c r="A51" s="391" t="s">
        <v>777</v>
      </c>
      <c r="B51" s="396"/>
      <c r="C51" s="383" t="s">
        <v>841</v>
      </c>
      <c r="G51" s="769">
        <v>42979</v>
      </c>
    </row>
    <row r="52" spans="1:7">
      <c r="A52" s="391" t="s">
        <v>776</v>
      </c>
      <c r="B52" s="396"/>
    </row>
    <row r="53" spans="1:7">
      <c r="A53" s="396"/>
      <c r="B53" s="396"/>
      <c r="C53" s="396"/>
      <c r="D53" s="396"/>
    </row>
    <row r="54" spans="1:7">
      <c r="A54" s="391"/>
    </row>
  </sheetData>
  <pageMargins left="0.7" right="0.7" top="0.75" bottom="0.75" header="0.3" footer="0.3"/>
  <pageSetup scale="9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110" zoomScaleNormal="110" workbookViewId="0">
      <selection activeCell="L7" sqref="L7:N7"/>
    </sheetView>
  </sheetViews>
  <sheetFormatPr defaultColWidth="9" defaultRowHeight="15"/>
  <cols>
    <col min="1" max="1" width="19.625" style="339" customWidth="1"/>
    <col min="2" max="23" width="6" style="339" customWidth="1"/>
    <col min="24" max="16384" width="9" style="339"/>
  </cols>
  <sheetData>
    <row r="1" spans="1:23">
      <c r="B1" s="1653" t="s">
        <v>664</v>
      </c>
      <c r="C1" s="1653"/>
      <c r="D1" s="1653"/>
      <c r="E1" s="1653"/>
      <c r="F1" s="1653"/>
      <c r="G1" s="1653"/>
      <c r="H1" s="1653"/>
      <c r="I1" s="1653"/>
      <c r="J1" s="1653"/>
      <c r="K1" s="1653"/>
      <c r="L1" s="1653" t="s">
        <v>665</v>
      </c>
      <c r="M1" s="1653"/>
      <c r="N1" s="1653"/>
      <c r="O1" s="1653"/>
      <c r="P1" s="1653"/>
      <c r="Q1" s="1653"/>
      <c r="R1" s="1653"/>
      <c r="S1" s="1653"/>
      <c r="T1" s="1653"/>
      <c r="U1" s="1653"/>
      <c r="V1" s="1653"/>
      <c r="W1" s="1653"/>
    </row>
    <row r="2" spans="1:23">
      <c r="B2" s="340" t="s">
        <v>666</v>
      </c>
      <c r="C2" s="340" t="s">
        <v>69</v>
      </c>
      <c r="D2" s="340" t="s">
        <v>70</v>
      </c>
      <c r="E2" s="340" t="s">
        <v>71</v>
      </c>
      <c r="F2" s="340" t="s">
        <v>72</v>
      </c>
      <c r="G2" s="340" t="s">
        <v>73</v>
      </c>
      <c r="H2" s="340" t="s">
        <v>74</v>
      </c>
      <c r="I2" s="340" t="s">
        <v>75</v>
      </c>
      <c r="J2" s="340" t="s">
        <v>76</v>
      </c>
      <c r="K2" s="340" t="s">
        <v>77</v>
      </c>
      <c r="L2" s="340" t="s">
        <v>65</v>
      </c>
      <c r="M2" s="340" t="s">
        <v>67</v>
      </c>
      <c r="N2" s="340" t="s">
        <v>68</v>
      </c>
      <c r="O2" s="340" t="s">
        <v>69</v>
      </c>
      <c r="P2" s="340" t="s">
        <v>70</v>
      </c>
      <c r="Q2" s="340" t="s">
        <v>71</v>
      </c>
      <c r="R2" s="340" t="s">
        <v>72</v>
      </c>
      <c r="S2" s="340" t="s">
        <v>73</v>
      </c>
      <c r="T2" s="340" t="s">
        <v>74</v>
      </c>
      <c r="U2" s="340" t="s">
        <v>75</v>
      </c>
      <c r="V2" s="340" t="s">
        <v>76</v>
      </c>
      <c r="W2" s="340" t="s">
        <v>77</v>
      </c>
    </row>
    <row r="3" spans="1:23" ht="15.75" thickBot="1">
      <c r="A3" s="341" t="s">
        <v>667</v>
      </c>
      <c r="B3" s="340"/>
      <c r="C3" s="340"/>
      <c r="D3" s="340"/>
      <c r="E3" s="340"/>
      <c r="F3" s="340"/>
      <c r="G3" s="340"/>
      <c r="H3" s="340"/>
      <c r="I3" s="340"/>
      <c r="J3" s="340"/>
      <c r="K3" s="340"/>
      <c r="L3" s="340"/>
      <c r="M3" s="340"/>
      <c r="N3" s="340"/>
      <c r="O3" s="340"/>
      <c r="P3" s="340"/>
      <c r="Q3" s="340"/>
      <c r="R3" s="340"/>
      <c r="S3" s="340"/>
      <c r="T3" s="340"/>
      <c r="U3" s="340"/>
      <c r="V3" s="340"/>
      <c r="W3" s="340"/>
    </row>
    <row r="4" spans="1:23" ht="31.5" thickTop="1" thickBot="1">
      <c r="A4" s="342" t="s">
        <v>668</v>
      </c>
      <c r="B4" s="1634" t="s">
        <v>669</v>
      </c>
      <c r="C4" s="1635"/>
      <c r="D4" s="1635"/>
      <c r="E4" s="1635"/>
      <c r="F4" s="1635"/>
      <c r="G4" s="1635"/>
      <c r="H4" s="1635"/>
      <c r="I4" s="1635"/>
      <c r="J4" s="1635"/>
      <c r="K4" s="1635"/>
      <c r="L4" s="1654" t="s">
        <v>670</v>
      </c>
      <c r="M4" s="1654"/>
      <c r="N4" s="1654"/>
      <c r="O4" s="1654"/>
      <c r="P4" s="1654"/>
      <c r="Q4" s="1654"/>
      <c r="R4" s="1654"/>
      <c r="S4" s="1654"/>
      <c r="T4" s="1654"/>
      <c r="U4" s="1654"/>
      <c r="V4" s="1654"/>
      <c r="W4" s="1654"/>
    </row>
    <row r="5" spans="1:23" ht="16.5" thickTop="1" thickBot="1">
      <c r="B5" s="1655" t="s">
        <v>671</v>
      </c>
      <c r="C5" s="1656"/>
      <c r="D5" s="1656"/>
      <c r="E5" s="1656"/>
      <c r="F5" s="1656"/>
      <c r="G5" s="1656"/>
      <c r="H5" s="1656"/>
      <c r="I5" s="1656"/>
      <c r="J5" s="1656"/>
      <c r="K5" s="1657"/>
      <c r="L5" s="1655" t="s">
        <v>672</v>
      </c>
      <c r="M5" s="1656"/>
      <c r="N5" s="1656"/>
      <c r="O5" s="1656"/>
      <c r="P5" s="1656"/>
      <c r="Q5" s="1656"/>
      <c r="R5" s="1656"/>
      <c r="S5" s="1656"/>
      <c r="T5" s="1656"/>
      <c r="U5" s="1656"/>
      <c r="V5" s="1656"/>
      <c r="W5" s="1657"/>
    </row>
    <row r="6" spans="1:23" ht="15.75" thickBot="1">
      <c r="B6" s="343"/>
      <c r="C6" s="343"/>
      <c r="D6" s="343"/>
      <c r="E6" s="343"/>
      <c r="F6" s="343"/>
      <c r="G6" s="343"/>
      <c r="H6" s="343"/>
      <c r="I6" s="343"/>
      <c r="J6" s="343"/>
      <c r="K6" s="343"/>
      <c r="L6" s="343"/>
      <c r="M6" s="343"/>
      <c r="N6" s="343"/>
      <c r="O6" s="343"/>
      <c r="P6" s="343"/>
      <c r="Q6" s="343"/>
      <c r="R6" s="343"/>
      <c r="S6" s="343"/>
      <c r="T6" s="343"/>
      <c r="U6" s="343"/>
      <c r="V6" s="343"/>
      <c r="W6" s="343"/>
    </row>
    <row r="7" spans="1:23" ht="30" customHeight="1" thickTop="1" thickBot="1">
      <c r="A7" s="344" t="s">
        <v>673</v>
      </c>
      <c r="C7" s="1651" t="s">
        <v>674</v>
      </c>
      <c r="D7" s="1652"/>
      <c r="E7" s="1649" t="s">
        <v>675</v>
      </c>
      <c r="F7" s="1649"/>
      <c r="G7" s="1649" t="s">
        <v>676</v>
      </c>
      <c r="H7" s="1649"/>
      <c r="I7" s="1649"/>
      <c r="J7" s="1649" t="s">
        <v>677</v>
      </c>
      <c r="K7" s="1649"/>
      <c r="L7" s="1650" t="s">
        <v>678</v>
      </c>
      <c r="M7" s="1650"/>
      <c r="N7" s="1650"/>
      <c r="O7" s="1650" t="s">
        <v>679</v>
      </c>
      <c r="P7" s="1650"/>
      <c r="Q7" s="1650"/>
      <c r="R7" s="1647" t="s">
        <v>680</v>
      </c>
      <c r="S7" s="1647"/>
      <c r="T7" s="1647"/>
      <c r="U7" s="1647"/>
      <c r="V7" s="1647"/>
      <c r="W7" s="1647"/>
    </row>
    <row r="8" spans="1:23" ht="16.5" thickTop="1" thickBot="1">
      <c r="B8" s="340"/>
      <c r="C8" s="340"/>
      <c r="D8" s="340"/>
      <c r="E8" s="340"/>
      <c r="F8" s="340"/>
      <c r="G8" s="340"/>
      <c r="H8" s="340"/>
      <c r="I8" s="340"/>
      <c r="J8" s="340"/>
      <c r="K8" s="340"/>
      <c r="L8" s="340"/>
      <c r="M8" s="340"/>
      <c r="N8" s="340"/>
      <c r="O8" s="340"/>
      <c r="P8" s="340"/>
      <c r="Q8" s="340"/>
      <c r="R8" s="340"/>
      <c r="S8" s="340"/>
      <c r="T8" s="340"/>
      <c r="U8" s="340"/>
      <c r="V8" s="340"/>
      <c r="W8" s="340"/>
    </row>
    <row r="9" spans="1:23" s="348" customFormat="1" ht="30.75" customHeight="1" thickTop="1" thickBot="1">
      <c r="A9" s="345" t="s">
        <v>681</v>
      </c>
      <c r="B9" s="346"/>
      <c r="C9" s="347"/>
      <c r="D9" s="1648" t="s">
        <v>682</v>
      </c>
      <c r="E9" s="1648"/>
      <c r="F9" s="1648" t="s">
        <v>683</v>
      </c>
      <c r="G9" s="1648"/>
      <c r="H9" s="1648" t="s">
        <v>684</v>
      </c>
      <c r="I9" s="1648"/>
      <c r="J9" s="1648"/>
      <c r="K9" s="1648"/>
      <c r="L9" s="1648" t="s">
        <v>685</v>
      </c>
      <c r="M9" s="1648"/>
      <c r="N9" s="1648"/>
      <c r="O9" s="1648"/>
      <c r="P9" s="1648" t="s">
        <v>686</v>
      </c>
      <c r="Q9" s="1648"/>
      <c r="R9" s="1648" t="s">
        <v>687</v>
      </c>
      <c r="S9" s="1648"/>
      <c r="T9" s="1648"/>
      <c r="U9" s="1648"/>
      <c r="V9" s="1648"/>
      <c r="W9" s="1648"/>
    </row>
    <row r="10" spans="1:23" ht="16.5" thickTop="1" thickBot="1">
      <c r="B10" s="340"/>
      <c r="C10" s="340"/>
      <c r="D10" s="340"/>
      <c r="E10" s="340"/>
      <c r="F10" s="340"/>
      <c r="G10" s="340"/>
      <c r="H10" s="340"/>
      <c r="I10" s="340"/>
      <c r="J10" s="340"/>
      <c r="K10" s="340"/>
      <c r="L10" s="340"/>
      <c r="M10" s="340"/>
      <c r="N10" s="340"/>
      <c r="O10" s="340"/>
      <c r="P10" s="340"/>
      <c r="Q10" s="340"/>
      <c r="R10" s="340"/>
      <c r="S10" s="340"/>
      <c r="T10" s="340"/>
      <c r="U10" s="340"/>
      <c r="V10" s="340"/>
      <c r="W10" s="340"/>
    </row>
    <row r="11" spans="1:23" ht="44.25" customHeight="1" thickTop="1" thickBot="1">
      <c r="A11" s="349" t="s">
        <v>688</v>
      </c>
      <c r="B11" s="350" t="s">
        <v>689</v>
      </c>
      <c r="C11" s="1638" t="s">
        <v>690</v>
      </c>
      <c r="D11" s="1638"/>
      <c r="E11" s="1638"/>
      <c r="F11" s="1638"/>
      <c r="G11" s="1638"/>
      <c r="H11" s="1638"/>
      <c r="I11" s="1638"/>
      <c r="J11" s="1638"/>
      <c r="K11" s="1639"/>
      <c r="L11" s="1640" t="s">
        <v>691</v>
      </c>
      <c r="M11" s="1638"/>
      <c r="N11" s="1638"/>
      <c r="O11" s="1638"/>
      <c r="P11" s="1638"/>
      <c r="Q11" s="1639"/>
      <c r="R11" s="1640" t="s">
        <v>692</v>
      </c>
      <c r="S11" s="1638"/>
      <c r="T11" s="1638"/>
      <c r="U11" s="1638"/>
      <c r="V11" s="1638"/>
      <c r="W11" s="1639"/>
    </row>
    <row r="12" spans="1:23" ht="16.5" thickTop="1" thickBot="1">
      <c r="B12" s="340"/>
      <c r="C12" s="340"/>
      <c r="D12" s="340"/>
      <c r="E12" s="340"/>
      <c r="F12" s="340"/>
      <c r="G12" s="340"/>
      <c r="H12" s="340"/>
      <c r="I12" s="340"/>
      <c r="J12" s="340"/>
      <c r="K12" s="340"/>
      <c r="L12" s="340"/>
      <c r="M12" s="340"/>
      <c r="N12" s="340"/>
      <c r="O12" s="340"/>
      <c r="P12" s="340"/>
      <c r="Q12" s="340"/>
      <c r="R12" s="340"/>
      <c r="S12" s="340"/>
      <c r="T12" s="340"/>
      <c r="U12" s="340"/>
      <c r="V12" s="340"/>
      <c r="W12" s="340"/>
    </row>
    <row r="13" spans="1:23" ht="30.75" customHeight="1" thickTop="1" thickBot="1">
      <c r="A13" s="351" t="s">
        <v>693</v>
      </c>
      <c r="C13" s="1644" t="s">
        <v>674</v>
      </c>
      <c r="D13" s="1645"/>
      <c r="E13" s="1646"/>
      <c r="F13" s="340"/>
      <c r="G13" s="340"/>
      <c r="H13" s="340"/>
      <c r="I13" s="340"/>
      <c r="J13" s="340"/>
      <c r="K13" s="340"/>
      <c r="L13" s="340"/>
      <c r="M13" s="340"/>
      <c r="N13" s="353"/>
      <c r="O13" s="1641" t="s">
        <v>694</v>
      </c>
      <c r="P13" s="1642"/>
      <c r="Q13" s="1642"/>
      <c r="R13" s="1642"/>
      <c r="S13" s="1642"/>
      <c r="T13" s="354"/>
      <c r="U13" s="1641" t="s">
        <v>695</v>
      </c>
      <c r="V13" s="1642"/>
      <c r="W13" s="1643"/>
    </row>
    <row r="14" spans="1:23" ht="15.75" thickTop="1">
      <c r="B14" s="340"/>
      <c r="C14" s="340"/>
      <c r="D14" s="340"/>
      <c r="E14" s="340"/>
      <c r="F14" s="340"/>
      <c r="G14" s="340"/>
      <c r="H14" s="340"/>
      <c r="I14" s="340"/>
      <c r="J14" s="340"/>
      <c r="K14" s="340"/>
      <c r="L14" s="340"/>
      <c r="M14" s="340"/>
      <c r="N14" s="340"/>
      <c r="O14" s="340"/>
      <c r="P14" s="340"/>
      <c r="Q14" s="340"/>
      <c r="R14" s="340"/>
      <c r="S14" s="340"/>
      <c r="T14" s="340"/>
      <c r="U14" s="340"/>
      <c r="V14" s="340"/>
      <c r="W14" s="340"/>
    </row>
    <row r="15" spans="1:23">
      <c r="B15" s="340"/>
      <c r="C15" s="340"/>
      <c r="D15" s="340"/>
      <c r="E15" s="340"/>
      <c r="F15" s="340"/>
      <c r="G15" s="340"/>
      <c r="H15" s="340"/>
      <c r="I15" s="340"/>
      <c r="J15" s="340"/>
      <c r="K15" s="340"/>
      <c r="L15" s="340"/>
      <c r="M15" s="340"/>
      <c r="N15" s="340"/>
      <c r="O15" s="340"/>
      <c r="P15" s="340"/>
      <c r="Q15" s="340"/>
      <c r="R15" s="340"/>
      <c r="S15" s="340"/>
      <c r="T15" s="340"/>
      <c r="U15" s="340"/>
      <c r="V15" s="340"/>
      <c r="W15" s="340"/>
    </row>
    <row r="16" spans="1:23">
      <c r="B16" s="340"/>
      <c r="C16" s="340"/>
      <c r="D16" s="340"/>
      <c r="E16" s="340"/>
      <c r="F16" s="340"/>
      <c r="G16" s="340"/>
      <c r="H16" s="340"/>
      <c r="I16" s="340"/>
      <c r="J16" s="340"/>
      <c r="K16" s="340"/>
      <c r="L16" s="340"/>
      <c r="M16" s="340"/>
      <c r="N16" s="340"/>
      <c r="O16" s="340"/>
      <c r="P16" s="340"/>
      <c r="Q16" s="340"/>
      <c r="R16" s="340"/>
      <c r="S16" s="340"/>
      <c r="T16" s="340"/>
      <c r="U16" s="340"/>
      <c r="V16" s="340"/>
      <c r="W16" s="340"/>
    </row>
    <row r="17" spans="1:23">
      <c r="B17" s="340"/>
      <c r="C17" s="340"/>
      <c r="D17" s="340"/>
      <c r="E17" s="340"/>
      <c r="F17" s="340"/>
      <c r="G17" s="340"/>
      <c r="H17" s="340"/>
      <c r="I17" s="340"/>
      <c r="J17" s="340"/>
      <c r="K17" s="340"/>
      <c r="L17" s="340"/>
      <c r="M17" s="340"/>
      <c r="N17" s="340"/>
      <c r="O17" s="340"/>
      <c r="P17" s="340"/>
      <c r="Q17" s="340"/>
      <c r="R17" s="340"/>
      <c r="S17" s="340"/>
      <c r="T17" s="340"/>
      <c r="U17" s="340"/>
      <c r="V17" s="340"/>
      <c r="W17" s="340"/>
    </row>
    <row r="18" spans="1:23" ht="15.75" thickBot="1">
      <c r="A18" s="341" t="s">
        <v>696</v>
      </c>
      <c r="B18" s="340"/>
      <c r="C18" s="340"/>
      <c r="D18" s="340"/>
      <c r="E18" s="340"/>
      <c r="F18" s="340"/>
      <c r="G18" s="340"/>
      <c r="H18" s="340"/>
      <c r="I18" s="340"/>
      <c r="J18" s="340"/>
      <c r="K18" s="340"/>
      <c r="L18" s="340"/>
      <c r="M18" s="340"/>
      <c r="N18" s="340"/>
      <c r="O18" s="340"/>
      <c r="P18" s="340"/>
      <c r="Q18" s="340"/>
      <c r="R18" s="340"/>
      <c r="S18" s="340"/>
      <c r="T18" s="340"/>
      <c r="U18" s="340"/>
      <c r="V18" s="340"/>
      <c r="W18" s="340"/>
    </row>
    <row r="19" spans="1:23" ht="31.5" thickTop="1" thickBot="1">
      <c r="A19" s="342" t="s">
        <v>668</v>
      </c>
      <c r="B19" s="1634" t="s">
        <v>669</v>
      </c>
      <c r="C19" s="1635"/>
      <c r="D19" s="1635"/>
      <c r="E19" s="1635"/>
      <c r="F19" s="1635"/>
      <c r="G19" s="1635"/>
      <c r="H19" s="1635"/>
      <c r="I19" s="1635"/>
      <c r="J19" s="1635"/>
      <c r="K19" s="1635"/>
      <c r="L19" s="340"/>
      <c r="M19" s="340"/>
      <c r="N19" s="340"/>
      <c r="O19" s="340"/>
      <c r="P19" s="340"/>
      <c r="Q19" s="340"/>
      <c r="R19" s="340"/>
      <c r="S19" s="340"/>
      <c r="T19" s="340"/>
      <c r="U19" s="340"/>
      <c r="V19" s="340"/>
      <c r="W19" s="340"/>
    </row>
    <row r="20" spans="1:23" ht="16.5" thickTop="1" thickBot="1">
      <c r="B20" s="340"/>
      <c r="C20" s="340"/>
      <c r="D20" s="340"/>
      <c r="E20" s="340"/>
      <c r="F20" s="340"/>
      <c r="G20" s="340"/>
      <c r="H20" s="340"/>
      <c r="I20" s="340"/>
      <c r="J20" s="340"/>
      <c r="K20" s="340"/>
      <c r="L20" s="340"/>
      <c r="M20" s="340"/>
      <c r="N20" s="340"/>
      <c r="O20" s="340"/>
      <c r="P20" s="340"/>
      <c r="Q20" s="340"/>
      <c r="R20" s="340"/>
      <c r="S20" s="340"/>
      <c r="T20" s="340"/>
      <c r="U20" s="340"/>
      <c r="V20" s="340"/>
      <c r="W20" s="340"/>
    </row>
    <row r="21" spans="1:23" ht="30.75" customHeight="1" thickBot="1">
      <c r="A21" s="355" t="s">
        <v>697</v>
      </c>
      <c r="B21" s="356"/>
      <c r="C21" s="1636" t="s">
        <v>698</v>
      </c>
      <c r="D21" s="1636"/>
      <c r="E21" s="1636" t="s">
        <v>699</v>
      </c>
      <c r="F21" s="1636"/>
      <c r="G21" s="1636"/>
      <c r="H21" s="1636"/>
      <c r="I21" s="1636" t="s">
        <v>700</v>
      </c>
      <c r="J21" s="1636"/>
      <c r="K21" s="1636"/>
      <c r="L21" s="352"/>
      <c r="M21" s="340"/>
      <c r="N21" s="340"/>
      <c r="O21" s="340"/>
      <c r="P21" s="340"/>
      <c r="Q21" s="340"/>
      <c r="R21" s="340"/>
      <c r="S21" s="340"/>
      <c r="T21" s="340"/>
      <c r="U21" s="340"/>
      <c r="V21" s="340"/>
      <c r="W21" s="340"/>
    </row>
    <row r="22" spans="1:23" ht="15.75" thickBot="1">
      <c r="B22" s="340"/>
      <c r="C22" s="340"/>
      <c r="D22" s="340"/>
      <c r="E22" s="340"/>
      <c r="F22" s="340"/>
      <c r="G22" s="340"/>
      <c r="H22" s="340"/>
      <c r="I22" s="340"/>
      <c r="J22" s="340"/>
      <c r="K22" s="340"/>
      <c r="L22" s="340"/>
      <c r="M22" s="340"/>
      <c r="N22" s="340"/>
      <c r="O22" s="340"/>
      <c r="P22" s="340"/>
      <c r="Q22" s="340"/>
      <c r="R22" s="340"/>
      <c r="S22" s="340"/>
      <c r="T22" s="340"/>
      <c r="U22" s="340"/>
      <c r="V22" s="340"/>
      <c r="W22" s="340"/>
    </row>
    <row r="23" spans="1:23" ht="30.75" thickBot="1">
      <c r="A23" s="357" t="s">
        <v>701</v>
      </c>
      <c r="B23" s="358"/>
      <c r="C23" s="1637" t="s">
        <v>702</v>
      </c>
      <c r="D23" s="1637"/>
      <c r="E23" s="1637"/>
      <c r="F23" s="1637"/>
      <c r="G23" s="1637"/>
      <c r="H23" s="1637"/>
      <c r="I23" s="1637"/>
      <c r="J23" s="1637"/>
      <c r="K23" s="1637"/>
      <c r="L23" s="352"/>
      <c r="M23" s="340"/>
      <c r="N23" s="340"/>
      <c r="O23" s="340"/>
      <c r="P23" s="340"/>
      <c r="Q23" s="340"/>
      <c r="R23" s="340"/>
      <c r="S23" s="340"/>
      <c r="T23" s="340"/>
      <c r="U23" s="340"/>
      <c r="V23" s="340"/>
      <c r="W23" s="340"/>
    </row>
    <row r="24" spans="1:23">
      <c r="B24" s="340"/>
      <c r="C24" s="340"/>
      <c r="D24" s="340"/>
      <c r="E24" s="340"/>
      <c r="F24" s="340"/>
      <c r="G24" s="340"/>
      <c r="H24" s="340"/>
      <c r="I24" s="340"/>
      <c r="J24" s="340"/>
      <c r="K24" s="340"/>
      <c r="L24" s="340"/>
      <c r="M24" s="340"/>
      <c r="N24" s="340"/>
      <c r="O24" s="340"/>
      <c r="P24" s="340"/>
      <c r="Q24" s="340"/>
      <c r="R24" s="340"/>
      <c r="S24" s="340"/>
      <c r="T24" s="340"/>
      <c r="U24" s="340"/>
      <c r="V24" s="340"/>
      <c r="W24" s="340"/>
    </row>
    <row r="25" spans="1:23">
      <c r="B25" s="340"/>
      <c r="C25" s="340"/>
      <c r="D25" s="340"/>
      <c r="E25" s="340"/>
      <c r="F25" s="340"/>
      <c r="G25" s="340"/>
      <c r="H25" s="340"/>
      <c r="I25" s="340"/>
      <c r="J25" s="340"/>
      <c r="K25" s="340"/>
      <c r="L25" s="340"/>
      <c r="M25" s="340"/>
      <c r="N25" s="340"/>
      <c r="O25" s="340"/>
      <c r="P25" s="340"/>
      <c r="Q25" s="340"/>
      <c r="R25" s="340"/>
      <c r="S25" s="340"/>
      <c r="T25" s="340"/>
      <c r="U25" s="340"/>
      <c r="V25" s="340"/>
      <c r="W25" s="340"/>
    </row>
    <row r="26" spans="1:23">
      <c r="B26" s="340"/>
      <c r="C26" s="340"/>
      <c r="D26" s="340"/>
      <c r="E26" s="340"/>
      <c r="F26" s="340"/>
      <c r="G26" s="340"/>
      <c r="H26" s="340"/>
      <c r="I26" s="340"/>
      <c r="J26" s="340"/>
      <c r="K26" s="340"/>
      <c r="L26" s="340"/>
      <c r="M26" s="340"/>
      <c r="N26" s="340"/>
      <c r="O26" s="340"/>
      <c r="P26" s="340"/>
      <c r="Q26" s="340"/>
      <c r="R26" s="340"/>
      <c r="S26" s="340"/>
      <c r="T26" s="340"/>
      <c r="U26" s="340"/>
      <c r="V26" s="340"/>
      <c r="W26" s="340"/>
    </row>
    <row r="27" spans="1:23">
      <c r="B27" s="340"/>
      <c r="C27" s="340"/>
      <c r="D27" s="340"/>
      <c r="E27" s="340"/>
      <c r="F27" s="340"/>
      <c r="G27" s="340"/>
      <c r="H27" s="340"/>
      <c r="I27" s="340"/>
      <c r="J27" s="340"/>
      <c r="K27" s="340"/>
      <c r="L27" s="340"/>
      <c r="M27" s="340"/>
      <c r="N27" s="340"/>
      <c r="O27" s="340"/>
      <c r="P27" s="340"/>
      <c r="Q27" s="340"/>
      <c r="R27" s="340"/>
      <c r="S27" s="340"/>
      <c r="T27" s="340"/>
      <c r="U27" s="340"/>
      <c r="V27" s="340"/>
      <c r="W27" s="340"/>
    </row>
  </sheetData>
  <mergeCells count="30">
    <mergeCell ref="B1:K1"/>
    <mergeCell ref="L1:W1"/>
    <mergeCell ref="B4:K4"/>
    <mergeCell ref="L4:W4"/>
    <mergeCell ref="B5:K5"/>
    <mergeCell ref="L5:W5"/>
    <mergeCell ref="R7:W7"/>
    <mergeCell ref="D9:E9"/>
    <mergeCell ref="F9:G9"/>
    <mergeCell ref="H9:K9"/>
    <mergeCell ref="L9:O9"/>
    <mergeCell ref="P9:Q9"/>
    <mergeCell ref="R9:W9"/>
    <mergeCell ref="E7:F7"/>
    <mergeCell ref="G7:I7"/>
    <mergeCell ref="J7:K7"/>
    <mergeCell ref="L7:N7"/>
    <mergeCell ref="O7:Q7"/>
    <mergeCell ref="C7:D7"/>
    <mergeCell ref="C11:K11"/>
    <mergeCell ref="L11:Q11"/>
    <mergeCell ref="R11:W11"/>
    <mergeCell ref="O13:S13"/>
    <mergeCell ref="U13:W13"/>
    <mergeCell ref="C13:E13"/>
    <mergeCell ref="B19:K19"/>
    <mergeCell ref="C21:D21"/>
    <mergeCell ref="E21:H21"/>
    <mergeCell ref="I21:K21"/>
    <mergeCell ref="C23:K23"/>
  </mergeCells>
  <pageMargins left="0.25" right="0.25" top="0.75" bottom="0.75" header="0.3" footer="0.3"/>
  <pageSetup scale="70" fitToHeight="0"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67"/>
  <sheetViews>
    <sheetView zoomScale="90" zoomScaleNormal="90" workbookViewId="0">
      <selection activeCell="F24" sqref="F24"/>
    </sheetView>
  </sheetViews>
  <sheetFormatPr defaultColWidth="9" defaultRowHeight="15"/>
  <cols>
    <col min="1" max="1" width="14.25" style="325" customWidth="1"/>
    <col min="2" max="2" width="14.25" style="369" customWidth="1"/>
    <col min="3" max="3" width="21.125" style="325" customWidth="1"/>
    <col min="4" max="4" width="61.875" style="325" customWidth="1"/>
    <col min="5" max="16384" width="9" style="325"/>
  </cols>
  <sheetData>
    <row r="1" spans="1:4" ht="15.75" customHeight="1">
      <c r="A1" s="1659" t="s">
        <v>591</v>
      </c>
      <c r="B1" s="1660"/>
      <c r="C1" s="1660"/>
      <c r="D1" s="1661"/>
    </row>
    <row r="2" spans="1:4" ht="25.5">
      <c r="A2" s="328" t="s">
        <v>182</v>
      </c>
      <c r="B2" s="328" t="s">
        <v>595</v>
      </c>
      <c r="C2" s="328" t="s">
        <v>647</v>
      </c>
      <c r="D2" s="328" t="s">
        <v>703</v>
      </c>
    </row>
    <row r="3" spans="1:4" ht="24" customHeight="1">
      <c r="A3" s="1658" t="s">
        <v>592</v>
      </c>
      <c r="B3" s="367"/>
      <c r="C3" s="327" t="s">
        <v>115</v>
      </c>
      <c r="D3" s="326" t="s">
        <v>705</v>
      </c>
    </row>
    <row r="4" spans="1:4">
      <c r="A4" s="1658"/>
      <c r="B4" s="367"/>
      <c r="C4" s="370" t="s">
        <v>606</v>
      </c>
      <c r="D4" s="326"/>
    </row>
    <row r="5" spans="1:4">
      <c r="A5" s="1658"/>
      <c r="B5" s="367"/>
      <c r="C5" s="370" t="s">
        <v>604</v>
      </c>
      <c r="D5" s="326"/>
    </row>
    <row r="6" spans="1:4">
      <c r="A6" s="1658"/>
      <c r="B6" s="367"/>
      <c r="C6" s="370" t="s">
        <v>605</v>
      </c>
      <c r="D6" s="326"/>
    </row>
    <row r="7" spans="1:4" ht="25.5">
      <c r="A7" s="1658"/>
      <c r="B7" s="367"/>
      <c r="C7" s="327" t="s">
        <v>607</v>
      </c>
      <c r="D7" s="326"/>
    </row>
    <row r="8" spans="1:4">
      <c r="A8" s="1658"/>
      <c r="B8" s="367"/>
      <c r="C8" s="327" t="s">
        <v>631</v>
      </c>
      <c r="D8" s="326"/>
    </row>
    <row r="9" spans="1:4">
      <c r="A9" s="1658"/>
      <c r="B9" s="367"/>
      <c r="C9" s="327" t="s">
        <v>704</v>
      </c>
      <c r="D9" s="326"/>
    </row>
    <row r="10" spans="1:4" ht="25.5">
      <c r="A10" s="1658"/>
      <c r="B10" s="367"/>
      <c r="C10" s="327" t="s">
        <v>609</v>
      </c>
      <c r="D10" s="326"/>
    </row>
    <row r="11" spans="1:4">
      <c r="A11" s="1658"/>
      <c r="B11" s="367"/>
      <c r="C11" s="327" t="s">
        <v>629</v>
      </c>
      <c r="D11" s="326"/>
    </row>
    <row r="12" spans="1:4">
      <c r="A12" s="1658"/>
      <c r="B12" s="367"/>
      <c r="C12" s="327" t="s">
        <v>630</v>
      </c>
      <c r="D12" s="326"/>
    </row>
    <row r="13" spans="1:4" ht="38.25">
      <c r="A13" s="1662" t="s">
        <v>596</v>
      </c>
      <c r="B13" s="360"/>
      <c r="C13" s="323" t="s">
        <v>657</v>
      </c>
      <c r="D13" s="326" t="s">
        <v>638</v>
      </c>
    </row>
    <row r="14" spans="1:4" ht="25.5">
      <c r="A14" s="1662"/>
      <c r="B14" s="360"/>
      <c r="C14" s="323" t="s">
        <v>593</v>
      </c>
      <c r="D14" s="326" t="s">
        <v>626</v>
      </c>
    </row>
    <row r="15" spans="1:4" ht="38.25">
      <c r="A15" s="1662"/>
      <c r="B15" s="360"/>
      <c r="C15" s="320" t="s">
        <v>658</v>
      </c>
      <c r="D15" s="321" t="s">
        <v>662</v>
      </c>
    </row>
    <row r="16" spans="1:4" ht="38.25">
      <c r="A16" s="1662"/>
      <c r="B16" s="365" t="s">
        <v>587</v>
      </c>
      <c r="C16" s="322" t="s">
        <v>659</v>
      </c>
      <c r="D16" s="302" t="s">
        <v>660</v>
      </c>
    </row>
    <row r="17" spans="1:4" ht="25.5">
      <c r="A17" s="1662"/>
      <c r="B17" s="360"/>
      <c r="C17" s="320" t="s">
        <v>599</v>
      </c>
      <c r="D17" s="321" t="s">
        <v>610</v>
      </c>
    </row>
    <row r="18" spans="1:4" ht="38.25">
      <c r="A18" s="1662"/>
      <c r="B18" s="360"/>
      <c r="C18" s="320" t="s">
        <v>594</v>
      </c>
      <c r="D18" s="321" t="s">
        <v>639</v>
      </c>
    </row>
    <row r="19" spans="1:4" ht="25.5">
      <c r="A19" s="1662"/>
      <c r="B19" s="360"/>
      <c r="C19" s="320" t="s">
        <v>661</v>
      </c>
      <c r="D19" s="321" t="s">
        <v>597</v>
      </c>
    </row>
    <row r="20" spans="1:4">
      <c r="A20" s="1662"/>
      <c r="B20" s="360"/>
      <c r="C20" s="320" t="s">
        <v>598</v>
      </c>
      <c r="D20" s="321" t="s">
        <v>656</v>
      </c>
    </row>
    <row r="21" spans="1:4" ht="51">
      <c r="A21" s="1662"/>
      <c r="B21" s="365" t="s">
        <v>587</v>
      </c>
      <c r="C21" s="322" t="s">
        <v>574</v>
      </c>
      <c r="D21" s="302" t="s">
        <v>640</v>
      </c>
    </row>
    <row r="22" spans="1:4" ht="25.5">
      <c r="A22" s="1662"/>
      <c r="B22" s="368"/>
      <c r="C22" s="329" t="s">
        <v>627</v>
      </c>
      <c r="D22" s="330" t="s">
        <v>628</v>
      </c>
    </row>
    <row r="23" spans="1:4" ht="25.5">
      <c r="A23" s="1662"/>
      <c r="B23" s="366" t="s">
        <v>562</v>
      </c>
      <c r="C23" s="317" t="s">
        <v>585</v>
      </c>
      <c r="D23" s="324" t="s">
        <v>588</v>
      </c>
    </row>
    <row r="24" spans="1:4" ht="63.75">
      <c r="A24" s="1658" t="s">
        <v>648</v>
      </c>
      <c r="B24" s="367"/>
      <c r="C24" s="323" t="s">
        <v>612</v>
      </c>
      <c r="D24" s="321" t="s">
        <v>641</v>
      </c>
    </row>
    <row r="25" spans="1:4" ht="51">
      <c r="A25" s="1658"/>
      <c r="B25" s="367"/>
      <c r="C25" s="323" t="s">
        <v>611</v>
      </c>
      <c r="D25" s="321" t="s">
        <v>642</v>
      </c>
    </row>
    <row r="26" spans="1:4" ht="38.25">
      <c r="A26" s="1658"/>
      <c r="B26" s="359" t="s">
        <v>587</v>
      </c>
      <c r="C26" s="331" t="s">
        <v>502</v>
      </c>
      <c r="D26" s="302" t="s">
        <v>503</v>
      </c>
    </row>
    <row r="27" spans="1:4" ht="25.5">
      <c r="A27" s="1658"/>
      <c r="B27" s="367"/>
      <c r="C27" s="323" t="s">
        <v>613</v>
      </c>
      <c r="D27" s="321" t="s">
        <v>632</v>
      </c>
    </row>
    <row r="28" spans="1:4" ht="25.5">
      <c r="A28" s="1658"/>
      <c r="B28" s="363" t="s">
        <v>562</v>
      </c>
      <c r="C28" s="332" t="s">
        <v>509</v>
      </c>
      <c r="D28" s="302" t="s">
        <v>649</v>
      </c>
    </row>
    <row r="29" spans="1:4" ht="51">
      <c r="A29" s="1658"/>
      <c r="B29" s="362" t="s">
        <v>562</v>
      </c>
      <c r="C29" s="333" t="s">
        <v>497</v>
      </c>
      <c r="D29" s="302" t="s">
        <v>499</v>
      </c>
    </row>
    <row r="30" spans="1:4" ht="38.25">
      <c r="A30" s="1658"/>
      <c r="B30" s="367"/>
      <c r="C30" s="327" t="s">
        <v>600</v>
      </c>
      <c r="D30" s="326" t="s">
        <v>602</v>
      </c>
    </row>
    <row r="31" spans="1:4" ht="25.5">
      <c r="A31" s="1658"/>
      <c r="B31" s="367"/>
      <c r="C31" s="327" t="s">
        <v>608</v>
      </c>
      <c r="D31" s="326" t="s">
        <v>637</v>
      </c>
    </row>
    <row r="32" spans="1:4" ht="25.5">
      <c r="A32" s="1551" t="s">
        <v>560</v>
      </c>
      <c r="B32" s="362" t="s">
        <v>562</v>
      </c>
      <c r="C32" s="333" t="s">
        <v>493</v>
      </c>
      <c r="D32" s="302" t="s">
        <v>494</v>
      </c>
    </row>
    <row r="33" spans="1:4" ht="63.75">
      <c r="A33" s="1551"/>
      <c r="B33" s="362" t="s">
        <v>562</v>
      </c>
      <c r="C33" s="333" t="s">
        <v>495</v>
      </c>
      <c r="D33" s="302" t="s">
        <v>650</v>
      </c>
    </row>
    <row r="34" spans="1:4">
      <c r="A34" s="1551"/>
      <c r="B34" s="368"/>
      <c r="C34" s="329" t="s">
        <v>643</v>
      </c>
      <c r="D34" s="330" t="s">
        <v>644</v>
      </c>
    </row>
    <row r="35" spans="1:4" ht="51">
      <c r="A35" s="1551"/>
      <c r="B35" s="362" t="s">
        <v>562</v>
      </c>
      <c r="C35" s="333" t="s">
        <v>500</v>
      </c>
      <c r="D35" s="302" t="s">
        <v>663</v>
      </c>
    </row>
    <row r="36" spans="1:4" ht="51">
      <c r="A36" s="1536" t="s">
        <v>55</v>
      </c>
      <c r="B36" s="363" t="s">
        <v>562</v>
      </c>
      <c r="C36" s="332" t="s">
        <v>511</v>
      </c>
      <c r="D36" s="302" t="s">
        <v>512</v>
      </c>
    </row>
    <row r="37" spans="1:4" ht="38.25">
      <c r="A37" s="1536"/>
      <c r="B37" s="363" t="s">
        <v>562</v>
      </c>
      <c r="C37" s="332" t="s">
        <v>513</v>
      </c>
      <c r="D37" s="302" t="s">
        <v>514</v>
      </c>
    </row>
    <row r="38" spans="1:4" ht="38.25">
      <c r="A38" s="1536"/>
      <c r="B38" s="363" t="s">
        <v>562</v>
      </c>
      <c r="C38" s="332" t="s">
        <v>515</v>
      </c>
      <c r="D38" s="302" t="s">
        <v>516</v>
      </c>
    </row>
    <row r="39" spans="1:4" ht="38.25">
      <c r="A39" s="1536"/>
      <c r="B39" s="363" t="s">
        <v>562</v>
      </c>
      <c r="C39" s="332" t="s">
        <v>517</v>
      </c>
      <c r="D39" s="302" t="s">
        <v>518</v>
      </c>
    </row>
    <row r="40" spans="1:4">
      <c r="A40" s="1536"/>
      <c r="B40" s="363" t="s">
        <v>562</v>
      </c>
      <c r="C40" s="332" t="s">
        <v>519</v>
      </c>
      <c r="D40" s="302" t="s">
        <v>520</v>
      </c>
    </row>
    <row r="41" spans="1:4" ht="25.5">
      <c r="A41" s="334" t="s">
        <v>589</v>
      </c>
      <c r="B41" s="364" t="s">
        <v>562</v>
      </c>
      <c r="C41" s="335" t="s">
        <v>527</v>
      </c>
      <c r="D41" s="302" t="s">
        <v>528</v>
      </c>
    </row>
    <row r="42" spans="1:4" ht="38.25">
      <c r="A42" s="1485" t="s">
        <v>566</v>
      </c>
      <c r="B42" s="359" t="s">
        <v>562</v>
      </c>
      <c r="C42" s="331" t="s">
        <v>541</v>
      </c>
      <c r="D42" s="302" t="s">
        <v>635</v>
      </c>
    </row>
    <row r="43" spans="1:4" ht="25.5">
      <c r="A43" s="1485"/>
      <c r="B43" s="359" t="s">
        <v>562</v>
      </c>
      <c r="C43" s="331" t="s">
        <v>543</v>
      </c>
      <c r="D43" s="302" t="s">
        <v>544</v>
      </c>
    </row>
    <row r="44" spans="1:4" ht="25.5">
      <c r="A44" s="1485"/>
      <c r="B44" s="359" t="s">
        <v>562</v>
      </c>
      <c r="C44" s="338" t="s">
        <v>545</v>
      </c>
      <c r="D44" s="300" t="s">
        <v>546</v>
      </c>
    </row>
    <row r="45" spans="1:4">
      <c r="A45" s="1551" t="s">
        <v>567</v>
      </c>
      <c r="B45" s="362" t="s">
        <v>562</v>
      </c>
      <c r="C45" s="333" t="s">
        <v>625</v>
      </c>
      <c r="D45" s="302" t="s">
        <v>624</v>
      </c>
    </row>
    <row r="46" spans="1:4" ht="25.5">
      <c r="A46" s="1551"/>
      <c r="B46" s="362" t="s">
        <v>562</v>
      </c>
      <c r="C46" s="333" t="s">
        <v>549</v>
      </c>
      <c r="D46" s="302" t="s">
        <v>550</v>
      </c>
    </row>
    <row r="47" spans="1:4" ht="25.5">
      <c r="A47" s="1551"/>
      <c r="B47" s="362" t="s">
        <v>562</v>
      </c>
      <c r="C47" s="336" t="s">
        <v>551</v>
      </c>
      <c r="D47" s="300" t="s">
        <v>636</v>
      </c>
    </row>
    <row r="48" spans="1:4">
      <c r="A48" s="1551"/>
      <c r="B48" s="362" t="s">
        <v>562</v>
      </c>
      <c r="C48" s="333" t="s">
        <v>553</v>
      </c>
      <c r="D48" s="302" t="s">
        <v>614</v>
      </c>
    </row>
    <row r="49" spans="1:4">
      <c r="A49" s="1551"/>
      <c r="B49" s="368"/>
      <c r="C49" s="329" t="s">
        <v>633</v>
      </c>
      <c r="D49" s="330" t="s">
        <v>634</v>
      </c>
    </row>
    <row r="50" spans="1:4" ht="25.5">
      <c r="A50" s="1551"/>
      <c r="B50" s="362" t="s">
        <v>562</v>
      </c>
      <c r="C50" s="333" t="s">
        <v>555</v>
      </c>
      <c r="D50" s="302" t="s">
        <v>582</v>
      </c>
    </row>
    <row r="51" spans="1:4" ht="25.5">
      <c r="A51" s="1663" t="s">
        <v>565</v>
      </c>
      <c r="B51" s="365" t="s">
        <v>587</v>
      </c>
      <c r="C51" s="322" t="s">
        <v>529</v>
      </c>
      <c r="D51" s="302" t="s">
        <v>578</v>
      </c>
    </row>
    <row r="52" spans="1:4" ht="38.25">
      <c r="A52" s="1663"/>
      <c r="B52" s="365" t="s">
        <v>587</v>
      </c>
      <c r="C52" s="322" t="s">
        <v>530</v>
      </c>
      <c r="D52" s="302" t="s">
        <v>531</v>
      </c>
    </row>
    <row r="53" spans="1:4" ht="25.5">
      <c r="A53" s="1663"/>
      <c r="B53" s="368"/>
      <c r="C53" s="329" t="s">
        <v>645</v>
      </c>
      <c r="D53" s="330" t="s">
        <v>646</v>
      </c>
    </row>
    <row r="54" spans="1:4" ht="38.25">
      <c r="A54" s="1663"/>
      <c r="B54" s="365" t="s">
        <v>587</v>
      </c>
      <c r="C54" s="322" t="s">
        <v>615</v>
      </c>
      <c r="D54" s="302" t="s">
        <v>651</v>
      </c>
    </row>
    <row r="55" spans="1:4" ht="51">
      <c r="A55" s="1479" t="s">
        <v>573</v>
      </c>
      <c r="B55" s="361" t="s">
        <v>587</v>
      </c>
      <c r="C55" s="337" t="s">
        <v>616</v>
      </c>
      <c r="D55" s="302" t="s">
        <v>652</v>
      </c>
    </row>
    <row r="56" spans="1:4" ht="38.25">
      <c r="A56" s="1479"/>
      <c r="B56" s="367"/>
      <c r="C56" s="327" t="s">
        <v>601</v>
      </c>
      <c r="D56" s="326" t="s">
        <v>603</v>
      </c>
    </row>
    <row r="57" spans="1:4" ht="38.25">
      <c r="A57" s="1479"/>
      <c r="B57" s="361" t="s">
        <v>587</v>
      </c>
      <c r="C57" s="337" t="s">
        <v>536</v>
      </c>
      <c r="D57" s="300" t="s">
        <v>537</v>
      </c>
    </row>
    <row r="58" spans="1:4" ht="38.25">
      <c r="A58" s="1479"/>
      <c r="B58" s="361" t="s">
        <v>587</v>
      </c>
      <c r="C58" s="337" t="s">
        <v>617</v>
      </c>
      <c r="D58" s="302" t="s">
        <v>653</v>
      </c>
    </row>
    <row r="59" spans="1:4" ht="25.5">
      <c r="A59" s="1479"/>
      <c r="B59" s="361" t="s">
        <v>587</v>
      </c>
      <c r="C59" s="337" t="s">
        <v>618</v>
      </c>
      <c r="D59" s="302" t="s">
        <v>540</v>
      </c>
    </row>
    <row r="60" spans="1:4" ht="51">
      <c r="A60" s="1525" t="s">
        <v>564</v>
      </c>
      <c r="B60" s="364" t="s">
        <v>587</v>
      </c>
      <c r="C60" s="335" t="s">
        <v>521</v>
      </c>
      <c r="D60" s="302" t="s">
        <v>654</v>
      </c>
    </row>
    <row r="61" spans="1:4" ht="25.5">
      <c r="A61" s="1525"/>
      <c r="B61" s="364" t="s">
        <v>587</v>
      </c>
      <c r="C61" s="335" t="s">
        <v>523</v>
      </c>
      <c r="D61" s="302" t="s">
        <v>524</v>
      </c>
    </row>
    <row r="62" spans="1:4">
      <c r="A62" s="1525"/>
      <c r="B62" s="368"/>
      <c r="C62" s="329" t="s">
        <v>619</v>
      </c>
      <c r="D62" s="330" t="s">
        <v>620</v>
      </c>
    </row>
    <row r="63" spans="1:4" ht="25.5">
      <c r="A63" s="1525"/>
      <c r="B63" s="364" t="s">
        <v>587</v>
      </c>
      <c r="C63" s="335" t="s">
        <v>525</v>
      </c>
      <c r="D63" s="302" t="s">
        <v>655</v>
      </c>
    </row>
    <row r="64" spans="1:4" ht="51">
      <c r="A64" s="1485" t="s">
        <v>621</v>
      </c>
      <c r="B64" s="359" t="s">
        <v>587</v>
      </c>
      <c r="C64" s="331" t="s">
        <v>504</v>
      </c>
      <c r="D64" s="302" t="s">
        <v>579</v>
      </c>
    </row>
    <row r="65" spans="1:4">
      <c r="A65" s="1485"/>
      <c r="B65" s="359" t="s">
        <v>587</v>
      </c>
      <c r="C65" s="331" t="s">
        <v>505</v>
      </c>
      <c r="D65" s="302" t="s">
        <v>506</v>
      </c>
    </row>
    <row r="66" spans="1:4" ht="38.25">
      <c r="A66" s="1485"/>
      <c r="B66" s="359" t="s">
        <v>587</v>
      </c>
      <c r="C66" s="331" t="s">
        <v>507</v>
      </c>
      <c r="D66" s="302" t="s">
        <v>508</v>
      </c>
    </row>
    <row r="67" spans="1:4">
      <c r="A67" s="1485"/>
      <c r="B67" s="359" t="s">
        <v>587</v>
      </c>
      <c r="C67" s="331" t="s">
        <v>622</v>
      </c>
      <c r="D67" s="302" t="s">
        <v>623</v>
      </c>
    </row>
  </sheetData>
  <mergeCells count="12">
    <mergeCell ref="A3:A12"/>
    <mergeCell ref="A1:D1"/>
    <mergeCell ref="A64:A67"/>
    <mergeCell ref="A13:A23"/>
    <mergeCell ref="A55:A59"/>
    <mergeCell ref="A42:A44"/>
    <mergeCell ref="A45:A50"/>
    <mergeCell ref="A36:A40"/>
    <mergeCell ref="A60:A63"/>
    <mergeCell ref="A51:A54"/>
    <mergeCell ref="A32:A35"/>
    <mergeCell ref="A24:A31"/>
  </mergeCells>
  <pageMargins left="0.25" right="0.25" top="0.5" bottom="0.5" header="0.3" footer="0.3"/>
  <pageSetup fitToHeight="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6"/>
  <sheetViews>
    <sheetView zoomScale="110" zoomScaleNormal="110" workbookViewId="0">
      <pane xSplit="2" ySplit="8" topLeftCell="C9" activePane="bottomRight" state="frozen"/>
      <selection pane="topRight" activeCell="C1" sqref="C1"/>
      <selection pane="bottomLeft" activeCell="A9" sqref="A9"/>
      <selection pane="bottomRight" activeCell="B29" sqref="B29:B33"/>
    </sheetView>
  </sheetViews>
  <sheetFormatPr defaultColWidth="8.5" defaultRowHeight="12.75"/>
  <cols>
    <col min="1" max="2" width="14.25" style="287" customWidth="1"/>
    <col min="3" max="3" width="21.125" style="287" customWidth="1"/>
    <col min="4" max="5" width="14.25" style="287" customWidth="1"/>
    <col min="6" max="6" width="14.25" style="309" customWidth="1"/>
    <col min="7" max="7" width="14.25" style="309" hidden="1" customWidth="1"/>
    <col min="8" max="8" width="12.125" style="310" customWidth="1"/>
    <col min="9" max="9" width="61.875" style="287" customWidth="1"/>
    <col min="10" max="10" width="14.25" style="287" hidden="1" customWidth="1"/>
    <col min="11" max="11" width="0" style="287" hidden="1" customWidth="1"/>
    <col min="12" max="16384" width="8.5" style="287"/>
  </cols>
  <sheetData>
    <row r="1" spans="1:11">
      <c r="A1" s="309"/>
      <c r="B1" s="309"/>
      <c r="C1" s="1669" t="s">
        <v>487</v>
      </c>
      <c r="D1" s="1669"/>
      <c r="E1" s="1669"/>
      <c r="F1" s="1669"/>
      <c r="G1" s="1669"/>
      <c r="H1" s="1670"/>
    </row>
    <row r="2" spans="1:11" hidden="1">
      <c r="A2" s="309"/>
      <c r="B2" s="309"/>
      <c r="C2" s="267" t="s">
        <v>463</v>
      </c>
      <c r="D2" s="1671" t="s">
        <v>556</v>
      </c>
      <c r="E2" s="1671"/>
      <c r="F2" s="1671"/>
      <c r="G2" s="1671"/>
      <c r="H2" s="1672"/>
    </row>
    <row r="3" spans="1:11" hidden="1">
      <c r="A3" s="309"/>
      <c r="B3" s="309"/>
      <c r="C3" s="268" t="s">
        <v>464</v>
      </c>
      <c r="D3" s="1673">
        <v>42948</v>
      </c>
      <c r="E3" s="1673"/>
      <c r="F3" s="1673"/>
      <c r="G3" s="1673"/>
      <c r="H3" s="1674"/>
    </row>
    <row r="4" spans="1:11" hidden="1">
      <c r="A4" s="309"/>
      <c r="B4" s="309"/>
      <c r="C4" s="268" t="s">
        <v>465</v>
      </c>
      <c r="D4" s="1675" t="s">
        <v>466</v>
      </c>
      <c r="E4" s="1675"/>
      <c r="F4" s="1675"/>
      <c r="G4" s="1675"/>
      <c r="H4" s="1676"/>
    </row>
    <row r="5" spans="1:11" hidden="1">
      <c r="A5" s="309"/>
      <c r="B5" s="309"/>
      <c r="C5" s="288" t="s">
        <v>467</v>
      </c>
      <c r="D5" s="1677"/>
      <c r="E5" s="1677"/>
      <c r="F5" s="1677"/>
      <c r="G5" s="1677"/>
      <c r="H5" s="1678"/>
    </row>
    <row r="6" spans="1:11" s="290" customFormat="1" ht="31.5">
      <c r="A6" s="1668" t="s">
        <v>488</v>
      </c>
      <c r="B6" s="1668"/>
      <c r="C6" s="1668"/>
      <c r="D6" s="289" t="s">
        <v>470</v>
      </c>
      <c r="E6" s="289" t="s">
        <v>471</v>
      </c>
      <c r="F6" s="289" t="s">
        <v>489</v>
      </c>
      <c r="G6" s="289" t="s">
        <v>490</v>
      </c>
      <c r="H6" s="289" t="s">
        <v>209</v>
      </c>
    </row>
    <row r="7" spans="1:11" ht="13.5" thickBot="1">
      <c r="C7" s="281" t="s">
        <v>576</v>
      </c>
      <c r="D7" s="281" t="s">
        <v>472</v>
      </c>
      <c r="E7" s="281" t="s">
        <v>473</v>
      </c>
      <c r="F7" s="281" t="s">
        <v>474</v>
      </c>
      <c r="G7" s="281" t="s">
        <v>475</v>
      </c>
      <c r="H7" s="282" t="s">
        <v>384</v>
      </c>
    </row>
    <row r="8" spans="1:11" ht="13.5" thickBot="1">
      <c r="A8" s="291" t="s">
        <v>557</v>
      </c>
      <c r="B8" s="291" t="s">
        <v>558</v>
      </c>
      <c r="C8" s="292" t="s">
        <v>469</v>
      </c>
      <c r="D8" s="1667" t="s">
        <v>559</v>
      </c>
      <c r="E8" s="1667"/>
      <c r="F8" s="1667"/>
      <c r="G8" s="1667"/>
      <c r="H8" s="1667"/>
      <c r="I8" s="292" t="s">
        <v>492</v>
      </c>
      <c r="J8" s="292"/>
      <c r="K8" s="287" t="s">
        <v>468</v>
      </c>
    </row>
    <row r="9" spans="1:11" ht="25.5">
      <c r="A9" s="1665" t="s">
        <v>583</v>
      </c>
      <c r="B9" s="1665" t="s">
        <v>562</v>
      </c>
      <c r="C9" s="317" t="s">
        <v>584</v>
      </c>
      <c r="D9" s="272" t="s">
        <v>561</v>
      </c>
      <c r="E9" s="272" t="s">
        <v>562</v>
      </c>
      <c r="F9" s="273" t="s">
        <v>562</v>
      </c>
      <c r="G9" s="273" t="s">
        <v>562</v>
      </c>
      <c r="H9" s="304"/>
      <c r="I9" s="300" t="s">
        <v>586</v>
      </c>
      <c r="J9" s="305"/>
    </row>
    <row r="10" spans="1:11" ht="25.5">
      <c r="A10" s="1665"/>
      <c r="B10" s="1665"/>
      <c r="C10" s="317" t="s">
        <v>585</v>
      </c>
      <c r="D10" s="272" t="s">
        <v>561</v>
      </c>
      <c r="E10" s="272" t="s">
        <v>587</v>
      </c>
      <c r="F10" s="273" t="s">
        <v>562</v>
      </c>
      <c r="G10" s="273" t="s">
        <v>562</v>
      </c>
      <c r="H10" s="304"/>
      <c r="I10" s="318" t="s">
        <v>588</v>
      </c>
      <c r="J10" s="305"/>
    </row>
    <row r="11" spans="1:11" ht="25.5">
      <c r="A11" s="1551" t="s">
        <v>560</v>
      </c>
      <c r="B11" s="1551" t="s">
        <v>562</v>
      </c>
      <c r="C11" s="293" t="s">
        <v>493</v>
      </c>
      <c r="D11" s="269" t="s">
        <v>561</v>
      </c>
      <c r="E11" s="269" t="s">
        <v>562</v>
      </c>
      <c r="F11" s="270" t="s">
        <v>562</v>
      </c>
      <c r="G11" s="270" t="s">
        <v>562</v>
      </c>
      <c r="H11" s="270" t="s">
        <v>491</v>
      </c>
      <c r="I11" s="294" t="s">
        <v>494</v>
      </c>
      <c r="J11" s="271"/>
      <c r="K11" s="287">
        <v>127</v>
      </c>
    </row>
    <row r="12" spans="1:11" ht="63.75">
      <c r="A12" s="1551"/>
      <c r="B12" s="1551"/>
      <c r="C12" s="293" t="s">
        <v>495</v>
      </c>
      <c r="D12" s="269" t="s">
        <v>561</v>
      </c>
      <c r="E12" s="269" t="s">
        <v>562</v>
      </c>
      <c r="F12" s="270" t="s">
        <v>562</v>
      </c>
      <c r="G12" s="270" t="s">
        <v>562</v>
      </c>
      <c r="H12" s="273"/>
      <c r="I12" s="294" t="s">
        <v>496</v>
      </c>
      <c r="J12" s="271"/>
      <c r="K12" s="287">
        <v>109</v>
      </c>
    </row>
    <row r="13" spans="1:11" ht="51">
      <c r="A13" s="1551"/>
      <c r="B13" s="1551"/>
      <c r="C13" s="293" t="s">
        <v>497</v>
      </c>
      <c r="D13" s="315" t="s">
        <v>568</v>
      </c>
      <c r="E13" s="273" t="s">
        <v>498</v>
      </c>
      <c r="F13" s="270" t="s">
        <v>562</v>
      </c>
      <c r="G13" s="270" t="s">
        <v>562</v>
      </c>
      <c r="H13" s="273"/>
      <c r="I13" s="294" t="s">
        <v>499</v>
      </c>
      <c r="J13" s="271"/>
      <c r="K13" s="287">
        <v>99</v>
      </c>
    </row>
    <row r="14" spans="1:11" ht="51">
      <c r="A14" s="1551"/>
      <c r="B14" s="1551"/>
      <c r="C14" s="293" t="s">
        <v>500</v>
      </c>
      <c r="D14" s="269" t="s">
        <v>561</v>
      </c>
      <c r="E14" s="269" t="s">
        <v>562</v>
      </c>
      <c r="F14" s="270" t="s">
        <v>562</v>
      </c>
      <c r="G14" s="270" t="s">
        <v>562</v>
      </c>
      <c r="H14" s="270"/>
      <c r="I14" s="294" t="s">
        <v>501</v>
      </c>
      <c r="J14" s="271"/>
      <c r="K14" s="287">
        <v>97</v>
      </c>
    </row>
    <row r="15" spans="1:11" ht="38.25">
      <c r="A15" s="1485" t="s">
        <v>563</v>
      </c>
      <c r="B15" s="1485" t="s">
        <v>587</v>
      </c>
      <c r="C15" s="295" t="s">
        <v>502</v>
      </c>
      <c r="D15" s="269" t="s">
        <v>561</v>
      </c>
      <c r="E15" s="269" t="s">
        <v>562</v>
      </c>
      <c r="F15" s="270" t="s">
        <v>562</v>
      </c>
      <c r="G15" s="270" t="s">
        <v>562</v>
      </c>
      <c r="H15" s="270"/>
      <c r="I15" s="294" t="s">
        <v>503</v>
      </c>
      <c r="J15" s="271"/>
      <c r="K15" s="287">
        <v>97</v>
      </c>
    </row>
    <row r="16" spans="1:11" ht="51">
      <c r="A16" s="1485"/>
      <c r="B16" s="1485"/>
      <c r="C16" s="295" t="s">
        <v>504</v>
      </c>
      <c r="D16" s="269" t="s">
        <v>561</v>
      </c>
      <c r="E16" s="269" t="s">
        <v>561</v>
      </c>
      <c r="F16" s="269" t="s">
        <v>561</v>
      </c>
      <c r="G16" s="270" t="s">
        <v>562</v>
      </c>
      <c r="H16" s="270"/>
      <c r="I16" s="294" t="s">
        <v>579</v>
      </c>
      <c r="J16" s="271"/>
      <c r="K16" s="287">
        <v>75</v>
      </c>
    </row>
    <row r="17" spans="1:11">
      <c r="A17" s="1485"/>
      <c r="B17" s="1485"/>
      <c r="C17" s="295" t="s">
        <v>505</v>
      </c>
      <c r="D17" s="269" t="s">
        <v>561</v>
      </c>
      <c r="E17" s="269" t="s">
        <v>561</v>
      </c>
      <c r="F17" s="269" t="s">
        <v>561</v>
      </c>
      <c r="G17" s="270" t="s">
        <v>562</v>
      </c>
      <c r="H17" s="270"/>
      <c r="I17" s="294" t="s">
        <v>506</v>
      </c>
      <c r="J17" s="271"/>
      <c r="K17" s="287">
        <v>75</v>
      </c>
    </row>
    <row r="18" spans="1:11" ht="33.75" customHeight="1">
      <c r="A18" s="1485"/>
      <c r="B18" s="1485"/>
      <c r="C18" s="295" t="s">
        <v>507</v>
      </c>
      <c r="D18" s="269" t="s">
        <v>561</v>
      </c>
      <c r="E18" s="269" t="s">
        <v>562</v>
      </c>
      <c r="F18" s="270" t="s">
        <v>562</v>
      </c>
      <c r="G18" s="270" t="s">
        <v>562</v>
      </c>
      <c r="H18" s="270"/>
      <c r="I18" s="294" t="s">
        <v>508</v>
      </c>
      <c r="J18" s="271"/>
      <c r="K18" s="287">
        <v>69</v>
      </c>
    </row>
    <row r="19" spans="1:11" ht="39" customHeight="1">
      <c r="A19" s="1536" t="s">
        <v>577</v>
      </c>
      <c r="B19" s="1536" t="s">
        <v>562</v>
      </c>
      <c r="C19" s="296" t="s">
        <v>509</v>
      </c>
      <c r="D19" s="269" t="s">
        <v>561</v>
      </c>
      <c r="E19" s="269" t="s">
        <v>562</v>
      </c>
      <c r="F19" s="270" t="s">
        <v>562</v>
      </c>
      <c r="G19" s="270" t="s">
        <v>562</v>
      </c>
      <c r="H19" s="270"/>
      <c r="I19" s="294" t="s">
        <v>510</v>
      </c>
      <c r="J19" s="271"/>
      <c r="K19" s="287">
        <v>63</v>
      </c>
    </row>
    <row r="20" spans="1:11" ht="51">
      <c r="A20" s="1536"/>
      <c r="B20" s="1536"/>
      <c r="C20" s="296" t="s">
        <v>511</v>
      </c>
      <c r="D20" s="269" t="s">
        <v>561</v>
      </c>
      <c r="E20" s="269" t="s">
        <v>562</v>
      </c>
      <c r="F20" s="270" t="s">
        <v>562</v>
      </c>
      <c r="G20" s="270" t="s">
        <v>562</v>
      </c>
      <c r="H20" s="270"/>
      <c r="I20" s="294" t="s">
        <v>512</v>
      </c>
      <c r="J20" s="271"/>
      <c r="K20" s="287">
        <v>59</v>
      </c>
    </row>
    <row r="21" spans="1:11" ht="38.25">
      <c r="A21" s="1536"/>
      <c r="B21" s="1536"/>
      <c r="C21" s="296" t="s">
        <v>513</v>
      </c>
      <c r="D21" s="315" t="s">
        <v>569</v>
      </c>
      <c r="E21" s="269" t="s">
        <v>498</v>
      </c>
      <c r="F21" s="270" t="s">
        <v>562</v>
      </c>
      <c r="G21" s="270" t="s">
        <v>562</v>
      </c>
      <c r="H21" s="270"/>
      <c r="I21" s="294" t="s">
        <v>514</v>
      </c>
      <c r="J21" s="271"/>
    </row>
    <row r="22" spans="1:11" ht="38.25">
      <c r="A22" s="1536"/>
      <c r="B22" s="1536"/>
      <c r="C22" s="296" t="s">
        <v>515</v>
      </c>
      <c r="D22" s="269" t="s">
        <v>561</v>
      </c>
      <c r="E22" s="273" t="s">
        <v>562</v>
      </c>
      <c r="F22" s="270" t="s">
        <v>562</v>
      </c>
      <c r="G22" s="270" t="s">
        <v>562</v>
      </c>
      <c r="H22" s="270"/>
      <c r="I22" s="294" t="s">
        <v>516</v>
      </c>
      <c r="J22" s="271"/>
      <c r="K22" s="287">
        <v>59</v>
      </c>
    </row>
    <row r="23" spans="1:11" ht="38.25">
      <c r="A23" s="1536"/>
      <c r="B23" s="1536"/>
      <c r="C23" s="296" t="s">
        <v>517</v>
      </c>
      <c r="D23" s="315" t="s">
        <v>568</v>
      </c>
      <c r="E23" s="273" t="s">
        <v>498</v>
      </c>
      <c r="F23" s="270" t="s">
        <v>562</v>
      </c>
      <c r="G23" s="270" t="s">
        <v>562</v>
      </c>
      <c r="H23" s="273"/>
      <c r="I23" s="294" t="s">
        <v>518</v>
      </c>
      <c r="J23" s="271"/>
      <c r="K23" s="287">
        <v>55</v>
      </c>
    </row>
    <row r="24" spans="1:11">
      <c r="A24" s="1536"/>
      <c r="B24" s="1536"/>
      <c r="C24" s="296" t="s">
        <v>519</v>
      </c>
      <c r="D24" s="269" t="s">
        <v>561</v>
      </c>
      <c r="E24" s="273" t="s">
        <v>562</v>
      </c>
      <c r="F24" s="270" t="s">
        <v>562</v>
      </c>
      <c r="G24" s="270" t="s">
        <v>562</v>
      </c>
      <c r="H24" s="273"/>
      <c r="I24" s="294" t="s">
        <v>520</v>
      </c>
      <c r="J24" s="271"/>
      <c r="K24" s="287">
        <v>45</v>
      </c>
    </row>
    <row r="25" spans="1:11" ht="51">
      <c r="A25" s="1507" t="s">
        <v>564</v>
      </c>
      <c r="B25" s="1507" t="s">
        <v>587</v>
      </c>
      <c r="C25" s="297" t="s">
        <v>521</v>
      </c>
      <c r="D25" s="269" t="s">
        <v>561</v>
      </c>
      <c r="E25" s="269" t="s">
        <v>562</v>
      </c>
      <c r="F25" s="270" t="s">
        <v>562</v>
      </c>
      <c r="G25" s="270" t="s">
        <v>562</v>
      </c>
      <c r="H25" s="270"/>
      <c r="I25" s="294" t="s">
        <v>522</v>
      </c>
      <c r="J25" s="274"/>
      <c r="K25" s="287">
        <v>15</v>
      </c>
    </row>
    <row r="26" spans="1:11" ht="25.5">
      <c r="A26" s="1508"/>
      <c r="B26" s="1508"/>
      <c r="C26" s="297" t="s">
        <v>523</v>
      </c>
      <c r="D26" s="269" t="s">
        <v>561</v>
      </c>
      <c r="E26" s="269" t="s">
        <v>562</v>
      </c>
      <c r="F26" s="270" t="s">
        <v>562</v>
      </c>
      <c r="G26" s="270" t="s">
        <v>562</v>
      </c>
      <c r="H26" s="273"/>
      <c r="I26" s="294" t="s">
        <v>524</v>
      </c>
      <c r="J26" s="274"/>
      <c r="K26" s="287">
        <v>15</v>
      </c>
    </row>
    <row r="27" spans="1:11" ht="25.5">
      <c r="A27" s="1509"/>
      <c r="B27" s="1509"/>
      <c r="C27" s="297" t="s">
        <v>525</v>
      </c>
      <c r="D27" s="269" t="s">
        <v>561</v>
      </c>
      <c r="E27" s="269" t="s">
        <v>562</v>
      </c>
      <c r="F27" s="270" t="s">
        <v>562</v>
      </c>
      <c r="G27" s="270" t="s">
        <v>562</v>
      </c>
      <c r="H27" s="273"/>
      <c r="I27" s="294" t="s">
        <v>526</v>
      </c>
      <c r="J27" s="274"/>
    </row>
    <row r="28" spans="1:11" ht="25.5">
      <c r="A28" s="319" t="s">
        <v>589</v>
      </c>
      <c r="B28" s="319" t="s">
        <v>562</v>
      </c>
      <c r="C28" s="297" t="s">
        <v>527</v>
      </c>
      <c r="D28" s="315" t="s">
        <v>569</v>
      </c>
      <c r="E28" s="269" t="s">
        <v>498</v>
      </c>
      <c r="F28" s="270" t="s">
        <v>562</v>
      </c>
      <c r="G28" s="270" t="s">
        <v>562</v>
      </c>
      <c r="H28" s="273" t="s">
        <v>590</v>
      </c>
      <c r="I28" s="294" t="s">
        <v>528</v>
      </c>
      <c r="J28" s="274"/>
    </row>
    <row r="29" spans="1:11" ht="25.5">
      <c r="A29" s="1663" t="s">
        <v>565</v>
      </c>
      <c r="B29" s="1663" t="s">
        <v>587</v>
      </c>
      <c r="C29" s="298" t="s">
        <v>204</v>
      </c>
      <c r="D29" s="269" t="s">
        <v>561</v>
      </c>
      <c r="E29" s="269" t="s">
        <v>562</v>
      </c>
      <c r="F29" s="270" t="s">
        <v>562</v>
      </c>
      <c r="G29" s="270" t="s">
        <v>562</v>
      </c>
      <c r="H29" s="273"/>
      <c r="I29" s="294" t="s">
        <v>578</v>
      </c>
      <c r="J29" s="274"/>
    </row>
    <row r="30" spans="1:11" ht="38.25">
      <c r="A30" s="1663"/>
      <c r="B30" s="1663"/>
      <c r="C30" s="298" t="s">
        <v>530</v>
      </c>
      <c r="D30" s="269" t="s">
        <v>561</v>
      </c>
      <c r="E30" s="269" t="s">
        <v>562</v>
      </c>
      <c r="F30" s="270" t="s">
        <v>562</v>
      </c>
      <c r="G30" s="270" t="s">
        <v>562</v>
      </c>
      <c r="H30" s="273"/>
      <c r="I30" s="294" t="s">
        <v>531</v>
      </c>
      <c r="J30" s="274"/>
    </row>
    <row r="31" spans="1:11" ht="46.5" customHeight="1">
      <c r="A31" s="1663"/>
      <c r="B31" s="1663"/>
      <c r="C31" s="298" t="s">
        <v>574</v>
      </c>
      <c r="D31" s="269" t="s">
        <v>561</v>
      </c>
      <c r="E31" s="269" t="s">
        <v>562</v>
      </c>
      <c r="F31" s="270" t="s">
        <v>562</v>
      </c>
      <c r="G31" s="270" t="s">
        <v>562</v>
      </c>
      <c r="H31" s="273"/>
      <c r="I31" s="294" t="s">
        <v>575</v>
      </c>
      <c r="J31" s="274"/>
    </row>
    <row r="32" spans="1:11" ht="44.25" customHeight="1">
      <c r="A32" s="1663"/>
      <c r="B32" s="1663"/>
      <c r="C32" s="298" t="s">
        <v>580</v>
      </c>
      <c r="D32" s="269" t="s">
        <v>561</v>
      </c>
      <c r="E32" s="269" t="s">
        <v>562</v>
      </c>
      <c r="F32" s="270" t="s">
        <v>562</v>
      </c>
      <c r="G32" s="270" t="s">
        <v>562</v>
      </c>
      <c r="H32" s="273"/>
      <c r="I32" s="294" t="s">
        <v>581</v>
      </c>
      <c r="J32" s="274"/>
    </row>
    <row r="33" spans="1:11" ht="38.25">
      <c r="A33" s="1663"/>
      <c r="B33" s="1663"/>
      <c r="C33" s="298" t="s">
        <v>532</v>
      </c>
      <c r="D33" s="269" t="s">
        <v>561</v>
      </c>
      <c r="E33" s="269" t="s">
        <v>562</v>
      </c>
      <c r="F33" s="270" t="s">
        <v>562</v>
      </c>
      <c r="G33" s="270" t="s">
        <v>562</v>
      </c>
      <c r="H33" s="273"/>
      <c r="I33" s="294" t="s">
        <v>533</v>
      </c>
      <c r="J33" s="274"/>
    </row>
    <row r="34" spans="1:11" ht="51">
      <c r="A34" s="1479" t="s">
        <v>573</v>
      </c>
      <c r="B34" s="1479" t="s">
        <v>587</v>
      </c>
      <c r="C34" s="283" t="s">
        <v>534</v>
      </c>
      <c r="D34" s="269" t="s">
        <v>561</v>
      </c>
      <c r="E34" s="272" t="s">
        <v>562</v>
      </c>
      <c r="F34" s="273" t="s">
        <v>562</v>
      </c>
      <c r="G34" s="273" t="s">
        <v>562</v>
      </c>
      <c r="H34" s="273"/>
      <c r="I34" s="294" t="s">
        <v>535</v>
      </c>
      <c r="J34" s="274"/>
    </row>
    <row r="35" spans="1:11" ht="38.25">
      <c r="A35" s="1479"/>
      <c r="B35" s="1479"/>
      <c r="C35" s="299" t="s">
        <v>536</v>
      </c>
      <c r="D35" s="269" t="s">
        <v>561</v>
      </c>
      <c r="E35" s="272" t="s">
        <v>562</v>
      </c>
      <c r="F35" s="273" t="s">
        <v>562</v>
      </c>
      <c r="G35" s="273" t="s">
        <v>562</v>
      </c>
      <c r="H35" s="273"/>
      <c r="I35" s="300" t="s">
        <v>537</v>
      </c>
      <c r="J35" s="274"/>
      <c r="K35" s="287">
        <v>15</v>
      </c>
    </row>
    <row r="36" spans="1:11" ht="38.25">
      <c r="A36" s="1479"/>
      <c r="B36" s="1479"/>
      <c r="C36" s="283" t="s">
        <v>538</v>
      </c>
      <c r="D36" s="269" t="s">
        <v>561</v>
      </c>
      <c r="E36" s="272" t="s">
        <v>562</v>
      </c>
      <c r="F36" s="273" t="s">
        <v>562</v>
      </c>
      <c r="G36" s="273" t="s">
        <v>562</v>
      </c>
      <c r="H36" s="273"/>
      <c r="I36" s="294" t="s">
        <v>539</v>
      </c>
      <c r="J36" s="274"/>
    </row>
    <row r="37" spans="1:11" ht="25.5">
      <c r="A37" s="1479"/>
      <c r="B37" s="1479"/>
      <c r="C37" s="283" t="s">
        <v>571</v>
      </c>
      <c r="D37" s="269" t="s">
        <v>561</v>
      </c>
      <c r="E37" s="272" t="s">
        <v>562</v>
      </c>
      <c r="F37" s="273" t="s">
        <v>562</v>
      </c>
      <c r="G37" s="269" t="s">
        <v>561</v>
      </c>
      <c r="H37" s="273"/>
      <c r="I37" s="294" t="s">
        <v>540</v>
      </c>
      <c r="J37" s="274"/>
    </row>
    <row r="38" spans="1:11" ht="38.25">
      <c r="A38" s="1485" t="s">
        <v>566</v>
      </c>
      <c r="B38" s="1485" t="s">
        <v>562</v>
      </c>
      <c r="C38" s="301" t="s">
        <v>541</v>
      </c>
      <c r="D38" s="315" t="s">
        <v>572</v>
      </c>
      <c r="E38" s="272" t="s">
        <v>562</v>
      </c>
      <c r="F38" s="273" t="s">
        <v>562</v>
      </c>
      <c r="G38" s="273" t="s">
        <v>562</v>
      </c>
      <c r="H38" s="273"/>
      <c r="I38" s="302" t="s">
        <v>542</v>
      </c>
      <c r="J38" s="274"/>
    </row>
    <row r="39" spans="1:11" ht="25.5">
      <c r="A39" s="1485"/>
      <c r="B39" s="1485"/>
      <c r="C39" s="301" t="s">
        <v>543</v>
      </c>
      <c r="D39" s="315" t="s">
        <v>570</v>
      </c>
      <c r="E39" s="272" t="s">
        <v>498</v>
      </c>
      <c r="F39" s="273" t="s">
        <v>562</v>
      </c>
      <c r="G39" s="273" t="s">
        <v>562</v>
      </c>
      <c r="H39" s="273"/>
      <c r="I39" s="302" t="s">
        <v>544</v>
      </c>
      <c r="J39" s="274"/>
      <c r="K39" s="287">
        <v>15</v>
      </c>
    </row>
    <row r="40" spans="1:11" ht="25.5">
      <c r="A40" s="1485"/>
      <c r="B40" s="1485"/>
      <c r="C40" s="303" t="s">
        <v>545</v>
      </c>
      <c r="D40" s="315" t="s">
        <v>569</v>
      </c>
      <c r="E40" s="272" t="s">
        <v>562</v>
      </c>
      <c r="F40" s="273" t="s">
        <v>562</v>
      </c>
      <c r="G40" s="273" t="s">
        <v>562</v>
      </c>
      <c r="H40" s="304"/>
      <c r="I40" s="300" t="s">
        <v>546</v>
      </c>
      <c r="J40" s="274"/>
      <c r="K40" s="287">
        <v>15</v>
      </c>
    </row>
    <row r="41" spans="1:11" ht="25.5">
      <c r="A41" s="1551" t="s">
        <v>567</v>
      </c>
      <c r="B41" s="1551" t="s">
        <v>562</v>
      </c>
      <c r="C41" s="306" t="s">
        <v>547</v>
      </c>
      <c r="D41" s="269" t="s">
        <v>561</v>
      </c>
      <c r="E41" s="272" t="s">
        <v>562</v>
      </c>
      <c r="F41" s="273" t="s">
        <v>562</v>
      </c>
      <c r="G41" s="273" t="s">
        <v>562</v>
      </c>
      <c r="H41" s="273"/>
      <c r="I41" s="302" t="s">
        <v>548</v>
      </c>
      <c r="J41" s="271"/>
      <c r="K41" s="287">
        <v>15</v>
      </c>
    </row>
    <row r="42" spans="1:11" ht="25.5">
      <c r="A42" s="1551"/>
      <c r="B42" s="1551"/>
      <c r="C42" s="307" t="s">
        <v>549</v>
      </c>
      <c r="D42" s="269" t="s">
        <v>561</v>
      </c>
      <c r="E42" s="269" t="s">
        <v>561</v>
      </c>
      <c r="F42" s="273" t="s">
        <v>562</v>
      </c>
      <c r="G42" s="273" t="s">
        <v>562</v>
      </c>
      <c r="H42" s="284"/>
      <c r="I42" s="308" t="s">
        <v>550</v>
      </c>
      <c r="J42" s="285"/>
      <c r="K42" s="287">
        <v>15</v>
      </c>
    </row>
    <row r="43" spans="1:11" ht="25.5">
      <c r="A43" s="1551"/>
      <c r="B43" s="1551"/>
      <c r="C43" s="316" t="s">
        <v>551</v>
      </c>
      <c r="D43" s="269" t="s">
        <v>561</v>
      </c>
      <c r="E43" s="269" t="s">
        <v>561</v>
      </c>
      <c r="F43" s="273" t="s">
        <v>562</v>
      </c>
      <c r="G43" s="273" t="s">
        <v>562</v>
      </c>
      <c r="H43" s="304"/>
      <c r="I43" s="300" t="s">
        <v>552</v>
      </c>
      <c r="J43" s="305"/>
    </row>
    <row r="44" spans="1:11">
      <c r="A44" s="1551"/>
      <c r="B44" s="1551"/>
      <c r="C44" s="306" t="s">
        <v>553</v>
      </c>
      <c r="D44" s="269" t="s">
        <v>561</v>
      </c>
      <c r="E44" s="269" t="s">
        <v>561</v>
      </c>
      <c r="F44" s="273" t="s">
        <v>562</v>
      </c>
      <c r="G44" s="273" t="s">
        <v>562</v>
      </c>
      <c r="H44" s="273"/>
      <c r="I44" s="302" t="s">
        <v>554</v>
      </c>
      <c r="J44" s="286"/>
      <c r="K44" s="287">
        <v>15</v>
      </c>
    </row>
    <row r="45" spans="1:11" ht="25.5">
      <c r="A45" s="1551"/>
      <c r="B45" s="1551"/>
      <c r="C45" s="306" t="s">
        <v>555</v>
      </c>
      <c r="D45" s="269" t="s">
        <v>561</v>
      </c>
      <c r="E45" s="269" t="s">
        <v>561</v>
      </c>
      <c r="F45" s="273" t="s">
        <v>562</v>
      </c>
      <c r="G45" s="273" t="s">
        <v>562</v>
      </c>
      <c r="H45" s="273"/>
      <c r="I45" s="302" t="s">
        <v>582</v>
      </c>
      <c r="J45" s="286"/>
      <c r="K45" s="287">
        <v>15</v>
      </c>
    </row>
    <row r="46" spans="1:11">
      <c r="C46" s="275"/>
      <c r="D46" s="1666"/>
      <c r="E46" s="1666"/>
      <c r="F46" s="1666"/>
      <c r="G46" s="1666"/>
      <c r="H46" s="1666"/>
      <c r="I46" s="311"/>
    </row>
    <row r="47" spans="1:11">
      <c r="C47" s="275"/>
      <c r="D47" s="1664"/>
      <c r="E47" s="1664"/>
      <c r="F47" s="1664"/>
      <c r="G47" s="1664"/>
      <c r="H47" s="1664"/>
      <c r="I47" s="312"/>
      <c r="J47" s="312"/>
      <c r="K47" s="312"/>
    </row>
    <row r="48" spans="1:11">
      <c r="C48" s="313"/>
      <c r="D48" s="1664"/>
      <c r="E48" s="1664"/>
      <c r="F48" s="1664"/>
      <c r="G48" s="1664"/>
      <c r="H48" s="1664"/>
      <c r="I48" s="311"/>
    </row>
    <row r="49" spans="3:8">
      <c r="C49" s="313"/>
      <c r="D49" s="1664"/>
      <c r="E49" s="1664"/>
      <c r="F49" s="1664"/>
      <c r="G49" s="1664"/>
      <c r="H49" s="1664"/>
    </row>
    <row r="50" spans="3:8">
      <c r="C50" s="313"/>
      <c r="D50" s="1664"/>
      <c r="E50" s="1664"/>
      <c r="F50" s="1664"/>
      <c r="G50" s="1664"/>
      <c r="H50" s="1664"/>
    </row>
    <row r="56" spans="3:8">
      <c r="C56" s="314"/>
    </row>
  </sheetData>
  <mergeCells count="30">
    <mergeCell ref="A6:C6"/>
    <mergeCell ref="C1:H1"/>
    <mergeCell ref="D2:H2"/>
    <mergeCell ref="D3:H3"/>
    <mergeCell ref="D4:H4"/>
    <mergeCell ref="D5:H5"/>
    <mergeCell ref="B34:B37"/>
    <mergeCell ref="D8:H8"/>
    <mergeCell ref="A11:A14"/>
    <mergeCell ref="B11:B14"/>
    <mergeCell ref="A15:A18"/>
    <mergeCell ref="B15:B18"/>
    <mergeCell ref="A19:A24"/>
    <mergeCell ref="B19:B24"/>
    <mergeCell ref="D48:H48"/>
    <mergeCell ref="D49:H49"/>
    <mergeCell ref="D50:H50"/>
    <mergeCell ref="A9:A10"/>
    <mergeCell ref="B9:B10"/>
    <mergeCell ref="B25:B27"/>
    <mergeCell ref="A25:A27"/>
    <mergeCell ref="A38:A40"/>
    <mergeCell ref="B38:B40"/>
    <mergeCell ref="A41:A45"/>
    <mergeCell ref="B41:B45"/>
    <mergeCell ref="D46:H46"/>
    <mergeCell ref="D47:H47"/>
    <mergeCell ref="A29:A33"/>
    <mergeCell ref="B29:B33"/>
    <mergeCell ref="A34:A37"/>
  </mergeCells>
  <conditionalFormatting sqref="D11:H45">
    <cfRule type="cellIs" dxfId="5" priority="4" operator="between">
      <formula>"H"</formula>
      <formula>"H"</formula>
    </cfRule>
    <cfRule type="cellIs" dxfId="4" priority="5" operator="between">
      <formula>"M"</formula>
      <formula>"M"</formula>
    </cfRule>
    <cfRule type="cellIs" dxfId="3" priority="6" operator="between">
      <formula>"NA"</formula>
      <formula>"NA"</formula>
    </cfRule>
  </conditionalFormatting>
  <conditionalFormatting sqref="D9:G10">
    <cfRule type="cellIs" dxfId="2" priority="1" operator="between">
      <formula>"H"</formula>
      <formula>"H"</formula>
    </cfRule>
    <cfRule type="cellIs" dxfId="1" priority="2" operator="between">
      <formula>"M"</formula>
      <formula>"M"</formula>
    </cfRule>
    <cfRule type="cellIs" dxfId="0" priority="3" operator="between">
      <formula>"NA"</formula>
      <formula>"NA"</formula>
    </cfRule>
  </conditionalFormatting>
  <pageMargins left="0.25" right="0.25" top="0.75" bottom="0.75" header="0.3" footer="0.3"/>
  <pageSetup scale="74" fitToHeight="0" orientation="landscape" r:id="rId1"/>
  <rowBreaks count="2" manualBreakCount="2">
    <brk id="18" max="16383" man="1"/>
    <brk id="33" max="16383"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80" zoomScaleNormal="80" workbookViewId="0">
      <selection activeCell="L31" sqref="L31"/>
    </sheetView>
  </sheetViews>
  <sheetFormatPr defaultRowHeight="15.75"/>
  <sheetData>
    <row r="1" spans="1:1" ht="18.75">
      <c r="A1" s="5" t="s">
        <v>387</v>
      </c>
    </row>
  </sheetData>
  <pageMargins left="0.7" right="0.7" top="0.75" bottom="0.75" header="0.3" footer="0.3"/>
  <pageSetup scale="96" fitToHeight="0" orientation="landscape"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7"/>
  <sheetViews>
    <sheetView topLeftCell="A9" zoomScale="70" zoomScaleNormal="70" workbookViewId="0">
      <pane xSplit="1" topLeftCell="AG1" activePane="topRight" state="frozen"/>
      <selection pane="topRight" activeCell="AH43" sqref="AH43"/>
    </sheetView>
  </sheetViews>
  <sheetFormatPr defaultColWidth="9" defaultRowHeight="15.75"/>
  <cols>
    <col min="1" max="1" width="46.75" style="89" customWidth="1"/>
    <col min="2" max="2" width="16" style="122" bestFit="1" customWidth="1"/>
    <col min="3" max="3" width="5.625" style="89" customWidth="1"/>
    <col min="4" max="4" width="3.875" style="89" customWidth="1"/>
    <col min="5" max="5" width="14.5" style="122" bestFit="1" customWidth="1"/>
    <col min="6" max="6" width="4.875" style="89" customWidth="1"/>
    <col min="7" max="7" width="4.375" style="89" customWidth="1"/>
    <col min="8" max="8" width="16.375" style="122" bestFit="1" customWidth="1"/>
    <col min="9" max="9" width="7" style="89" bestFit="1" customWidth="1"/>
    <col min="10" max="10" width="3" style="85" customWidth="1"/>
    <col min="11" max="11" width="17" style="89" bestFit="1" customWidth="1"/>
    <col min="12" max="12" width="6.625" style="89" customWidth="1"/>
    <col min="13" max="13" width="4" style="89" customWidth="1"/>
    <col min="14" max="14" width="17" style="89" bestFit="1" customWidth="1"/>
    <col min="15" max="15" width="7.375" style="89" bestFit="1" customWidth="1"/>
    <col min="16" max="16" width="3.25" style="89" customWidth="1"/>
    <col min="17" max="17" width="17" style="89" bestFit="1" customWidth="1"/>
    <col min="18" max="18" width="7.375" style="89" bestFit="1" customWidth="1"/>
    <col min="19" max="19" width="3.5" style="89" customWidth="1"/>
    <col min="20" max="20" width="17" style="89" bestFit="1" customWidth="1"/>
    <col min="21" max="21" width="7.375" style="89" bestFit="1" customWidth="1"/>
    <col min="22" max="22" width="2.875" style="89" customWidth="1"/>
    <col min="23" max="23" width="17" style="89" bestFit="1" customWidth="1"/>
    <col min="24" max="24" width="7.375" style="89" bestFit="1" customWidth="1"/>
    <col min="25" max="25" width="2.875" style="89" customWidth="1"/>
    <col min="26" max="26" width="16.375" style="89" bestFit="1" customWidth="1"/>
    <col min="27" max="27" width="7.375" style="89" bestFit="1" customWidth="1"/>
    <col min="28" max="28" width="3" style="89" customWidth="1"/>
    <col min="29" max="29" width="17" style="122" bestFit="1" customWidth="1"/>
    <col min="30" max="30" width="7.375" style="89" bestFit="1" customWidth="1"/>
    <col min="31" max="31" width="3.5" style="89" customWidth="1"/>
    <col min="32" max="32" width="17" style="89" bestFit="1" customWidth="1"/>
    <col min="33" max="33" width="7.375" style="89" bestFit="1" customWidth="1"/>
    <col min="34" max="34" width="4.5" style="89" customWidth="1"/>
    <col min="35" max="35" width="16.375" style="89" bestFit="1" customWidth="1"/>
    <col min="36" max="36" width="7" style="89" bestFit="1" customWidth="1"/>
    <col min="37" max="37" width="4.5" style="89" customWidth="1"/>
    <col min="38" max="38" width="17" style="89" bestFit="1" customWidth="1"/>
    <col min="39" max="39" width="7.375" style="89" bestFit="1" customWidth="1"/>
    <col min="40" max="40" width="4" style="89" customWidth="1"/>
    <col min="41" max="41" width="16.375" style="89" bestFit="1" customWidth="1"/>
    <col min="42" max="42" width="7.375" style="89" bestFit="1" customWidth="1"/>
    <col min="43" max="43" width="4.5" style="89" customWidth="1"/>
    <col min="44" max="44" width="16.375" style="89" bestFit="1" customWidth="1"/>
    <col min="45" max="45" width="5.875" style="89" customWidth="1"/>
    <col min="46" max="46" width="4.5" style="89" customWidth="1"/>
    <col min="47" max="47" width="14.5" style="89" bestFit="1" customWidth="1"/>
    <col min="48" max="48" width="5" style="89" customWidth="1"/>
    <col min="49" max="49" width="4.875" style="89" customWidth="1"/>
    <col min="50" max="50" width="14.125" style="89" bestFit="1" customWidth="1"/>
    <col min="51" max="51" width="4.625" style="89" customWidth="1"/>
    <col min="52" max="52" width="9" style="89"/>
    <col min="53" max="53" width="23.875" style="89" bestFit="1" customWidth="1"/>
    <col min="54" max="54" width="8" style="89" customWidth="1"/>
    <col min="55" max="16384" width="9" style="89"/>
  </cols>
  <sheetData>
    <row r="1" spans="1:53" ht="18.75">
      <c r="A1" s="121" t="s">
        <v>180</v>
      </c>
    </row>
    <row r="4" spans="1:53">
      <c r="Z4" s="83"/>
      <c r="AA4" s="83"/>
    </row>
    <row r="5" spans="1:53">
      <c r="A5" s="123" t="s">
        <v>181</v>
      </c>
      <c r="Z5" s="83"/>
      <c r="AA5" s="83"/>
    </row>
    <row r="6" spans="1:53" ht="51" customHeight="1">
      <c r="A6" s="124" t="s">
        <v>182</v>
      </c>
      <c r="B6" s="1679" t="s">
        <v>183</v>
      </c>
      <c r="C6" s="1679"/>
      <c r="D6" s="124"/>
      <c r="E6" s="1679" t="s">
        <v>184</v>
      </c>
      <c r="F6" s="1679"/>
      <c r="G6" s="124"/>
      <c r="H6" s="1679" t="s">
        <v>185</v>
      </c>
      <c r="I6" s="1679"/>
      <c r="J6" s="125"/>
      <c r="K6" s="1679" t="s">
        <v>186</v>
      </c>
      <c r="L6" s="1679"/>
      <c r="N6" s="1679" t="s">
        <v>187</v>
      </c>
      <c r="O6" s="1679"/>
      <c r="P6" s="126"/>
      <c r="Q6" s="1679" t="s">
        <v>188</v>
      </c>
      <c r="R6" s="1679"/>
      <c r="S6" s="126"/>
      <c r="T6" s="1679" t="s">
        <v>189</v>
      </c>
      <c r="U6" s="1679"/>
      <c r="V6" s="126"/>
      <c r="W6" s="1679" t="s">
        <v>190</v>
      </c>
      <c r="X6" s="1679"/>
      <c r="Y6" s="126"/>
      <c r="Z6" s="1679" t="s">
        <v>191</v>
      </c>
      <c r="AA6" s="1679"/>
      <c r="AB6" s="126"/>
      <c r="AC6" s="1679" t="s">
        <v>192</v>
      </c>
      <c r="AD6" s="1679"/>
      <c r="AE6" s="126"/>
      <c r="AF6" s="1679" t="s">
        <v>193</v>
      </c>
      <c r="AG6" s="1679"/>
      <c r="AH6" s="126"/>
      <c r="AI6" s="1679" t="s">
        <v>194</v>
      </c>
      <c r="AJ6" s="1679"/>
      <c r="AK6" s="125"/>
      <c r="AL6" s="1679" t="s">
        <v>195</v>
      </c>
      <c r="AM6" s="1679"/>
      <c r="AN6" s="125"/>
      <c r="AO6" s="1679" t="s">
        <v>196</v>
      </c>
      <c r="AP6" s="1679"/>
      <c r="AQ6" s="125"/>
      <c r="AR6" s="1679" t="s">
        <v>197</v>
      </c>
      <c r="AS6" s="1679"/>
      <c r="AT6" s="126"/>
      <c r="AU6" s="1679" t="s">
        <v>198</v>
      </c>
      <c r="AV6" s="1679"/>
      <c r="AW6" s="126"/>
      <c r="AX6" s="1679" t="s">
        <v>199</v>
      </c>
      <c r="AY6" s="1679"/>
      <c r="AZ6" s="125"/>
      <c r="BA6" s="127" t="s">
        <v>200</v>
      </c>
    </row>
    <row r="7" spans="1:53">
      <c r="A7" s="128"/>
      <c r="B7" s="129" t="s">
        <v>201</v>
      </c>
      <c r="C7" s="130" t="s">
        <v>202</v>
      </c>
      <c r="D7" s="128"/>
      <c r="E7" s="129" t="s">
        <v>201</v>
      </c>
      <c r="F7" s="130" t="s">
        <v>202</v>
      </c>
      <c r="G7" s="128"/>
      <c r="H7" s="129" t="s">
        <v>201</v>
      </c>
      <c r="I7" s="130" t="s">
        <v>202</v>
      </c>
      <c r="J7" s="131"/>
      <c r="K7" s="130" t="s">
        <v>201</v>
      </c>
      <c r="L7" s="130" t="s">
        <v>202</v>
      </c>
      <c r="N7" s="130" t="s">
        <v>201</v>
      </c>
      <c r="O7" s="130" t="s">
        <v>202</v>
      </c>
      <c r="P7" s="131"/>
      <c r="Q7" s="130" t="s">
        <v>201</v>
      </c>
      <c r="R7" s="130" t="s">
        <v>202</v>
      </c>
      <c r="S7" s="131"/>
      <c r="T7" s="130" t="s">
        <v>201</v>
      </c>
      <c r="U7" s="130" t="s">
        <v>202</v>
      </c>
      <c r="V7" s="131"/>
      <c r="W7" s="130" t="s">
        <v>201</v>
      </c>
      <c r="X7" s="130" t="s">
        <v>202</v>
      </c>
      <c r="Y7" s="131"/>
      <c r="Z7" s="130" t="s">
        <v>201</v>
      </c>
      <c r="AA7" s="130" t="s">
        <v>202</v>
      </c>
      <c r="AB7" s="131"/>
      <c r="AC7" s="129" t="s">
        <v>201</v>
      </c>
      <c r="AD7" s="130" t="s">
        <v>202</v>
      </c>
      <c r="AE7" s="131"/>
      <c r="AF7" s="130" t="s">
        <v>201</v>
      </c>
      <c r="AG7" s="130" t="s">
        <v>202</v>
      </c>
      <c r="AH7" s="131"/>
      <c r="AI7" s="130" t="s">
        <v>201</v>
      </c>
      <c r="AJ7" s="130" t="s">
        <v>202</v>
      </c>
      <c r="AK7" s="131"/>
      <c r="AL7" s="130" t="s">
        <v>201</v>
      </c>
      <c r="AM7" s="130" t="s">
        <v>202</v>
      </c>
      <c r="AN7" s="131"/>
      <c r="AO7" s="130" t="s">
        <v>201</v>
      </c>
      <c r="AP7" s="130" t="s">
        <v>202</v>
      </c>
      <c r="AQ7" s="131"/>
      <c r="AR7" s="130" t="s">
        <v>201</v>
      </c>
      <c r="AS7" s="130" t="s">
        <v>202</v>
      </c>
      <c r="AT7" s="131"/>
      <c r="AU7" s="130" t="s">
        <v>201</v>
      </c>
      <c r="AV7" s="130" t="s">
        <v>202</v>
      </c>
      <c r="AW7" s="131"/>
      <c r="AX7" s="130" t="s">
        <v>201</v>
      </c>
      <c r="AY7" s="130" t="s">
        <v>202</v>
      </c>
      <c r="AZ7" s="131"/>
      <c r="BA7" s="130" t="s">
        <v>201</v>
      </c>
    </row>
    <row r="8" spans="1:53">
      <c r="A8" s="132" t="s">
        <v>203</v>
      </c>
      <c r="B8" s="133">
        <f>186559+4000+19376</f>
        <v>209935</v>
      </c>
      <c r="C8" s="134" t="s">
        <v>204</v>
      </c>
      <c r="D8" s="132"/>
      <c r="E8" s="133">
        <f>223791+25749</f>
        <v>249540</v>
      </c>
      <c r="F8" s="134" t="s">
        <v>204</v>
      </c>
      <c r="G8" s="132"/>
      <c r="H8" s="133">
        <f>513385+95435+50</f>
        <v>608870</v>
      </c>
      <c r="I8" s="134">
        <v>11</v>
      </c>
      <c r="J8" s="135"/>
      <c r="K8" s="133">
        <f>618735+143390</f>
        <v>762125</v>
      </c>
      <c r="L8" s="134">
        <v>11</v>
      </c>
      <c r="N8" s="133">
        <f>727776+150530</f>
        <v>878306</v>
      </c>
      <c r="O8" s="134">
        <v>12</v>
      </c>
      <c r="P8" s="134"/>
      <c r="Q8" s="133">
        <f>749775+182274</f>
        <v>932049</v>
      </c>
      <c r="R8" s="134">
        <v>12</v>
      </c>
      <c r="S8" s="134"/>
      <c r="T8" s="133">
        <f>744796+185990</f>
        <v>930786</v>
      </c>
      <c r="U8" s="134">
        <v>13</v>
      </c>
      <c r="V8" s="134"/>
      <c r="W8" s="133">
        <f>750572+186715</f>
        <v>937287</v>
      </c>
      <c r="X8" s="136">
        <v>13</v>
      </c>
      <c r="Y8" s="134"/>
      <c r="Z8" s="133">
        <f>751040+191362</f>
        <v>942402</v>
      </c>
      <c r="AA8" s="134">
        <v>13</v>
      </c>
      <c r="AB8" s="134"/>
      <c r="AC8" s="133">
        <f>751050+221030</f>
        <v>972080</v>
      </c>
      <c r="AD8" s="134">
        <v>12</v>
      </c>
      <c r="AE8" s="134"/>
      <c r="AF8" s="133">
        <f>806220+304000</f>
        <v>1110220</v>
      </c>
      <c r="AG8" s="134">
        <v>12</v>
      </c>
      <c r="AH8" s="134"/>
      <c r="AI8" s="133">
        <f>760065+49920+323090</f>
        <v>1133075</v>
      </c>
      <c r="AJ8" s="134">
        <v>10.1</v>
      </c>
      <c r="AK8" s="135"/>
      <c r="AL8" s="133">
        <f>892105+4771+6000</f>
        <v>902876</v>
      </c>
      <c r="AM8" s="134">
        <v>13</v>
      </c>
      <c r="AN8" s="135"/>
      <c r="AO8" s="133">
        <f>837090+2000+5208</f>
        <v>844298</v>
      </c>
      <c r="AP8" s="134">
        <v>10.8</v>
      </c>
      <c r="AQ8" s="135"/>
      <c r="AR8" s="133">
        <f>743674+1100+4774</f>
        <v>749548</v>
      </c>
      <c r="AS8" s="134">
        <v>8.75</v>
      </c>
      <c r="AT8" s="134"/>
      <c r="AU8" s="133">
        <v>0</v>
      </c>
      <c r="AV8" s="134" t="s">
        <v>204</v>
      </c>
      <c r="AW8" s="134"/>
      <c r="AX8" s="133">
        <v>0</v>
      </c>
      <c r="AY8" s="134" t="s">
        <v>204</v>
      </c>
      <c r="AZ8" s="135"/>
      <c r="BA8" s="133">
        <f>SUM(B8)+E8+H8+K8+N8+Q8+T8+W8+Z8+AC8+AF8+AI8+AL8+AO8+AR8+AU8+AX8</f>
        <v>12163397</v>
      </c>
    </row>
    <row r="9" spans="1:53">
      <c r="A9" s="132"/>
      <c r="B9" s="133"/>
      <c r="C9" s="137"/>
      <c r="D9" s="132"/>
      <c r="E9" s="133"/>
      <c r="F9" s="137"/>
      <c r="G9" s="132"/>
      <c r="H9" s="133"/>
      <c r="I9" s="137"/>
      <c r="J9" s="138"/>
      <c r="K9" s="133"/>
      <c r="L9" s="137"/>
      <c r="N9" s="133"/>
      <c r="O9" s="137"/>
      <c r="P9" s="137"/>
      <c r="Q9" s="133"/>
      <c r="R9" s="137"/>
      <c r="S9" s="137"/>
      <c r="T9" s="133"/>
      <c r="U9" s="137"/>
      <c r="V9" s="137"/>
      <c r="W9" s="133"/>
      <c r="X9" s="137"/>
      <c r="Y9" s="137"/>
      <c r="Z9" s="133"/>
      <c r="AA9" s="137"/>
      <c r="AB9" s="137"/>
      <c r="AC9" s="133"/>
      <c r="AD9" s="137"/>
      <c r="AE9" s="137"/>
      <c r="AF9" s="133"/>
      <c r="AG9" s="137"/>
      <c r="AH9" s="137"/>
      <c r="AI9" s="133"/>
      <c r="AJ9" s="137"/>
      <c r="AK9" s="138"/>
      <c r="AL9" s="133"/>
      <c r="AM9" s="137"/>
      <c r="AN9" s="138"/>
      <c r="AO9" s="133"/>
      <c r="AP9" s="137"/>
      <c r="AQ9" s="138"/>
      <c r="AR9" s="133"/>
      <c r="AS9" s="137"/>
      <c r="AT9" s="137"/>
      <c r="AU9" s="133"/>
      <c r="AV9" s="137"/>
      <c r="AW9" s="137"/>
      <c r="AX9" s="133"/>
      <c r="AY9" s="137"/>
      <c r="AZ9" s="138"/>
      <c r="BA9" s="133"/>
    </row>
    <row r="10" spans="1:53">
      <c r="A10" s="132" t="s">
        <v>205</v>
      </c>
      <c r="B10" s="133">
        <v>867942</v>
      </c>
      <c r="C10" s="137"/>
      <c r="D10" s="132"/>
      <c r="E10" s="133">
        <v>542104</v>
      </c>
      <c r="F10" s="137"/>
      <c r="G10" s="132"/>
      <c r="H10" s="133">
        <f>588985</f>
        <v>588985</v>
      </c>
      <c r="I10" s="137"/>
      <c r="J10" s="138"/>
      <c r="K10" s="133">
        <v>565000</v>
      </c>
      <c r="L10" s="137"/>
      <c r="N10" s="133">
        <f>615000+4169+397883</f>
        <v>1017052</v>
      </c>
      <c r="O10" s="137"/>
      <c r="P10" s="137"/>
      <c r="Q10" s="133">
        <f>983058+4201+132</f>
        <v>987391</v>
      </c>
      <c r="R10" s="137"/>
      <c r="S10" s="137"/>
      <c r="T10" s="133">
        <f>4062+983058+2646+14400+132</f>
        <v>1004298</v>
      </c>
      <c r="U10" s="137"/>
      <c r="V10" s="137"/>
      <c r="W10" s="133">
        <f>1303763</f>
        <v>1303763</v>
      </c>
      <c r="X10" s="137"/>
      <c r="Y10" s="137"/>
      <c r="Z10" s="133">
        <f>5143+5437+1306479+490+14400+132</f>
        <v>1332081</v>
      </c>
      <c r="AA10" s="137"/>
      <c r="AB10" s="137"/>
      <c r="AC10" s="133">
        <f>5340+4850+1374655+1090+195</f>
        <v>1386130</v>
      </c>
      <c r="AD10" s="137"/>
      <c r="AE10" s="137"/>
      <c r="AF10" s="133">
        <f>2583950</f>
        <v>2583950</v>
      </c>
      <c r="AG10" s="137"/>
      <c r="AH10" s="137"/>
      <c r="AI10" s="133">
        <f>1238000+355000</f>
        <v>1593000</v>
      </c>
      <c r="AJ10" s="137"/>
      <c r="AK10" s="138"/>
      <c r="AL10" s="133">
        <f>800000+64600</f>
        <v>864600</v>
      </c>
      <c r="AM10" s="137"/>
      <c r="AN10" s="138"/>
      <c r="AO10" s="133">
        <v>868264</v>
      </c>
      <c r="AP10" s="137"/>
      <c r="AQ10" s="138"/>
      <c r="AR10" s="133">
        <v>845600</v>
      </c>
      <c r="AS10" s="137"/>
      <c r="AT10" s="137"/>
      <c r="AU10" s="133">
        <v>0</v>
      </c>
      <c r="AV10" s="137"/>
      <c r="AW10" s="137"/>
      <c r="AX10" s="133">
        <v>0</v>
      </c>
      <c r="AY10" s="137"/>
      <c r="AZ10" s="138"/>
      <c r="BA10" s="133">
        <f>SUM(B10)+E10+H10+K10+N10+Q10+T10+W10+Z10+AC10+AF10+AI10+AL10+AO10+AR10+AU10+AX10</f>
        <v>16350160</v>
      </c>
    </row>
    <row r="11" spans="1:53" ht="18.75" customHeight="1">
      <c r="A11" s="132"/>
      <c r="B11" s="133"/>
      <c r="C11" s="137"/>
      <c r="D11" s="132"/>
      <c r="E11" s="133"/>
      <c r="F11" s="137"/>
      <c r="G11" s="132"/>
      <c r="H11" s="133"/>
      <c r="I11" s="137"/>
      <c r="J11" s="138"/>
      <c r="K11" s="133"/>
      <c r="L11" s="137"/>
      <c r="N11" s="133"/>
      <c r="O11" s="137"/>
      <c r="P11" s="137"/>
      <c r="Q11" s="133"/>
      <c r="R11" s="137"/>
      <c r="S11" s="137"/>
      <c r="T11" s="133"/>
      <c r="U11" s="137"/>
      <c r="V11" s="137"/>
      <c r="W11" s="133"/>
      <c r="X11" s="137"/>
      <c r="Y11" s="137"/>
      <c r="Z11" s="133"/>
      <c r="AA11" s="137"/>
      <c r="AB11" s="137"/>
      <c r="AC11" s="133"/>
      <c r="AD11" s="137"/>
      <c r="AE11" s="137"/>
      <c r="AF11" s="133"/>
      <c r="AG11" s="137"/>
      <c r="AH11" s="137"/>
      <c r="AI11" s="133"/>
      <c r="AJ11" s="137"/>
      <c r="AK11" s="138"/>
      <c r="AL11" s="133"/>
      <c r="AM11" s="137"/>
      <c r="AN11" s="138"/>
      <c r="AO11" s="133"/>
      <c r="AP11" s="137"/>
      <c r="AQ11" s="138"/>
      <c r="AR11" s="133"/>
      <c r="AS11" s="137"/>
      <c r="AT11" s="137"/>
      <c r="AU11" s="133"/>
      <c r="AV11" s="137"/>
      <c r="AW11" s="137"/>
      <c r="AX11" s="133"/>
      <c r="AY11" s="137"/>
      <c r="AZ11" s="138"/>
      <c r="BA11" s="133"/>
    </row>
    <row r="12" spans="1:53">
      <c r="A12" s="132" t="s">
        <v>206</v>
      </c>
      <c r="B12" s="133">
        <v>100</v>
      </c>
      <c r="C12" s="137"/>
      <c r="D12" s="132"/>
      <c r="E12" s="133">
        <v>0</v>
      </c>
      <c r="F12" s="137"/>
      <c r="G12" s="132"/>
      <c r="H12" s="133">
        <v>0</v>
      </c>
      <c r="I12" s="137"/>
      <c r="J12" s="138"/>
      <c r="K12" s="133">
        <v>24200</v>
      </c>
      <c r="L12" s="137"/>
      <c r="N12" s="133">
        <f>54233+2500</f>
        <v>56733</v>
      </c>
      <c r="O12" s="137"/>
      <c r="P12" s="137"/>
      <c r="Q12" s="133">
        <f>500+500+2450+4750+1000+1000+200+250+200+260+100+300+32949</f>
        <v>44459</v>
      </c>
      <c r="R12" s="137"/>
      <c r="S12" s="137"/>
      <c r="T12" s="133">
        <f>500+500+2450+4750+1000+1000+200+250+200+260+260+300+26549</f>
        <v>38219</v>
      </c>
      <c r="U12" s="137"/>
      <c r="V12" s="137"/>
      <c r="W12" s="133">
        <v>81584</v>
      </c>
      <c r="X12" s="137"/>
      <c r="Y12" s="137"/>
      <c r="Z12" s="133">
        <f>43973</f>
        <v>43973</v>
      </c>
      <c r="AA12" s="137"/>
      <c r="AB12" s="137"/>
      <c r="AC12" s="133">
        <v>45700</v>
      </c>
      <c r="AD12" s="137"/>
      <c r="AE12" s="137"/>
      <c r="AF12" s="133">
        <v>44250</v>
      </c>
      <c r="AG12" s="137"/>
      <c r="AH12" s="137"/>
      <c r="AI12" s="133">
        <v>34990</v>
      </c>
      <c r="AJ12" s="137"/>
      <c r="AK12" s="138"/>
      <c r="AL12" s="133">
        <v>19000</v>
      </c>
      <c r="AM12" s="137"/>
      <c r="AN12" s="138"/>
      <c r="AO12" s="133">
        <v>35000</v>
      </c>
      <c r="AP12" s="137"/>
      <c r="AQ12" s="138"/>
      <c r="AR12" s="133">
        <v>30749</v>
      </c>
      <c r="AS12" s="137"/>
      <c r="AT12" s="137"/>
      <c r="AU12" s="133">
        <v>0</v>
      </c>
      <c r="AV12" s="137"/>
      <c r="AW12" s="137"/>
      <c r="AX12" s="133">
        <v>0</v>
      </c>
      <c r="AY12" s="137"/>
      <c r="AZ12" s="138"/>
      <c r="BA12" s="133">
        <f>SUM(B12)+E12+H12+K12+N12+Q12+T12+W12+Z12+AC12+AF12+AI12+AL12+AO12+AR12+AU12+AX12</f>
        <v>498957</v>
      </c>
    </row>
    <row r="13" spans="1:53">
      <c r="A13" s="132"/>
      <c r="B13" s="133"/>
      <c r="C13" s="137"/>
      <c r="D13" s="132"/>
      <c r="E13" s="133"/>
      <c r="F13" s="137"/>
      <c r="G13" s="132"/>
      <c r="H13" s="133"/>
      <c r="I13" s="137"/>
      <c r="J13" s="138"/>
      <c r="K13" s="133"/>
      <c r="L13" s="137"/>
      <c r="N13" s="133"/>
      <c r="O13" s="137"/>
      <c r="P13" s="137"/>
      <c r="Q13" s="133"/>
      <c r="R13" s="137"/>
      <c r="S13" s="137"/>
      <c r="T13" s="133"/>
      <c r="U13" s="137"/>
      <c r="V13" s="137"/>
      <c r="W13" s="133"/>
      <c r="X13" s="137"/>
      <c r="Y13" s="137"/>
      <c r="Z13" s="133"/>
      <c r="AA13" s="137"/>
      <c r="AB13" s="137"/>
      <c r="AC13" s="133"/>
      <c r="AD13" s="137"/>
      <c r="AE13" s="137"/>
      <c r="AF13" s="133"/>
      <c r="AG13" s="137"/>
      <c r="AH13" s="137"/>
      <c r="AI13" s="133"/>
      <c r="AJ13" s="137"/>
      <c r="AK13" s="138"/>
      <c r="AL13" s="133"/>
      <c r="AM13" s="137"/>
      <c r="AN13" s="138"/>
      <c r="AO13" s="133"/>
      <c r="AP13" s="137"/>
      <c r="AQ13" s="138"/>
      <c r="AR13" s="133"/>
      <c r="AS13" s="137"/>
      <c r="AT13" s="137"/>
      <c r="AU13" s="133"/>
      <c r="AV13" s="137"/>
      <c r="AW13" s="137"/>
      <c r="AX13" s="133"/>
      <c r="AY13" s="137"/>
      <c r="AZ13" s="138"/>
      <c r="BA13" s="133"/>
    </row>
    <row r="14" spans="1:53">
      <c r="A14" s="132" t="s">
        <v>207</v>
      </c>
      <c r="B14" s="133">
        <f>3098+574+1537</f>
        <v>5209</v>
      </c>
      <c r="C14" s="137"/>
      <c r="D14" s="132"/>
      <c r="E14" s="133">
        <f>5077+3288+5383+1996</f>
        <v>15744</v>
      </c>
      <c r="F14" s="137"/>
      <c r="G14" s="132"/>
      <c r="H14" s="133">
        <f>2200+1225+35+5630+14205+6000+5160+6000</f>
        <v>40455</v>
      </c>
      <c r="I14" s="137"/>
      <c r="J14" s="138"/>
      <c r="K14" s="133">
        <f>725+585+255+103645+2500+7335+8565+585+1045+2640+27770+26565</f>
        <v>182215</v>
      </c>
      <c r="L14" s="137"/>
      <c r="N14" s="133">
        <f>300+250+11634+90470+838+14000+4188+582+2560+1045+435+1500+69651+37320+1</f>
        <v>234774</v>
      </c>
      <c r="O14" s="137"/>
      <c r="P14" s="137"/>
      <c r="Q14" s="133">
        <f>36000+140+15402+139360+847+4401+596+2939+100+100+1000+796+1250+48550+35060</f>
        <v>286541</v>
      </c>
      <c r="R14" s="137"/>
      <c r="S14" s="137"/>
      <c r="T14" s="133">
        <f>17250+4675+216+17332+142439+204+738+476+6660+3360+397+2990+100+100+948+895+35965+43860</f>
        <v>278605</v>
      </c>
      <c r="U14" s="137"/>
      <c r="V14" s="137"/>
      <c r="W14" s="133">
        <v>191611</v>
      </c>
      <c r="X14" s="137"/>
      <c r="Y14" s="137"/>
      <c r="Z14" s="133">
        <f>12301+2909+131950+204+738+529+6660+4555+4+100+948+1044+20424+43258</f>
        <v>225624</v>
      </c>
      <c r="AA14" s="137"/>
      <c r="AB14" s="137"/>
      <c r="AC14" s="133">
        <f>8000+5340+2+1000+950+1050+11430+41895+205+740+780+5000+4370+100</f>
        <v>80862</v>
      </c>
      <c r="AD14" s="137"/>
      <c r="AE14" s="137"/>
      <c r="AF14" s="133">
        <f>8000+6800+800+740+8000+100+100+1000+8280+38565</f>
        <v>72385</v>
      </c>
      <c r="AG14" s="137"/>
      <c r="AH14" s="137"/>
      <c r="AI14" s="133">
        <f>2500+8000+6800+100+2000+2550+5000+1000+17300+42750</f>
        <v>88000</v>
      </c>
      <c r="AJ14" s="137"/>
      <c r="AK14" s="138"/>
      <c r="AL14" s="133">
        <f>5240+6000+2690+7000+1500+2000+8000+3000+18800+8116</f>
        <v>62346</v>
      </c>
      <c r="AM14" s="137"/>
      <c r="AN14" s="138"/>
      <c r="AO14" s="133">
        <f>5240+5000+3038+4128+1200+2000+3000+1000+1500+8100</f>
        <v>34206</v>
      </c>
      <c r="AP14" s="137"/>
      <c r="AQ14" s="138"/>
      <c r="AR14" s="133">
        <f>3803+1100+4300+3600+1500+2025+1355+950+1000+3272</f>
        <v>22905</v>
      </c>
      <c r="AS14" s="137"/>
      <c r="AT14" s="137"/>
      <c r="AU14" s="133">
        <v>0</v>
      </c>
      <c r="AV14" s="137"/>
      <c r="AW14" s="137"/>
      <c r="AX14" s="133">
        <v>0</v>
      </c>
      <c r="AY14" s="137"/>
      <c r="AZ14" s="138"/>
      <c r="BA14" s="133">
        <f>SUM(B14)+E14+H14+K14+N14+Q14+T14+W14+Z14+AC14+AF14+AI14+AL14+AO14+AR14+AU14+AX14</f>
        <v>1821482</v>
      </c>
    </row>
    <row r="15" spans="1:53">
      <c r="A15" s="132"/>
      <c r="B15" s="133"/>
      <c r="C15" s="137"/>
      <c r="D15" s="132"/>
      <c r="E15" s="133"/>
      <c r="F15" s="137"/>
      <c r="G15" s="132"/>
      <c r="H15" s="133"/>
      <c r="I15" s="137"/>
      <c r="J15" s="138"/>
      <c r="K15" s="133"/>
      <c r="L15" s="137"/>
      <c r="N15" s="133"/>
      <c r="O15" s="137"/>
      <c r="P15" s="137"/>
      <c r="Q15" s="133"/>
      <c r="R15" s="137"/>
      <c r="S15" s="137"/>
      <c r="T15" s="133"/>
      <c r="U15" s="137"/>
      <c r="V15" s="137"/>
      <c r="W15" s="133"/>
      <c r="X15" s="137"/>
      <c r="Y15" s="137"/>
      <c r="Z15" s="133"/>
      <c r="AA15" s="137"/>
      <c r="AB15" s="137"/>
      <c r="AC15" s="133"/>
      <c r="AD15" s="137"/>
      <c r="AE15" s="137"/>
      <c r="AF15" s="133"/>
      <c r="AG15" s="137"/>
      <c r="AH15" s="137"/>
      <c r="AI15" s="133"/>
      <c r="AJ15" s="137"/>
      <c r="AK15" s="138"/>
      <c r="AL15" s="133"/>
      <c r="AM15" s="137"/>
      <c r="AN15" s="138"/>
      <c r="AO15" s="133"/>
      <c r="AP15" s="137"/>
      <c r="AQ15" s="138"/>
      <c r="AR15" s="133"/>
      <c r="AS15" s="137"/>
      <c r="AT15" s="137"/>
      <c r="AU15" s="133"/>
      <c r="AV15" s="137"/>
      <c r="AW15" s="137"/>
      <c r="AX15" s="133"/>
      <c r="AY15" s="137"/>
      <c r="AZ15" s="138"/>
      <c r="BA15" s="133"/>
    </row>
    <row r="16" spans="1:53">
      <c r="A16" s="132" t="s">
        <v>208</v>
      </c>
      <c r="B16" s="133">
        <v>38167</v>
      </c>
      <c r="C16" s="137"/>
      <c r="D16" s="132"/>
      <c r="E16" s="133">
        <f>45694+99171</f>
        <v>144865</v>
      </c>
      <c r="F16" s="137"/>
      <c r="G16" s="132"/>
      <c r="H16" s="133">
        <f>623390+510500+39460+7430</f>
        <v>1180780</v>
      </c>
      <c r="I16" s="137"/>
      <c r="J16" s="138"/>
      <c r="K16" s="133">
        <f>73500+1015000+213185+175170+12830+325000</f>
        <v>1814685</v>
      </c>
      <c r="L16" s="137"/>
      <c r="N16" s="133">
        <f>30000+1105000+150000+80000+228000</f>
        <v>1593000</v>
      </c>
      <c r="O16" s="137"/>
      <c r="P16" s="137"/>
      <c r="Q16" s="133">
        <f>540000+162000+100000+20500+3000+2500+10790+38000+15000+3500+2500+24000+3000+40000+12000</f>
        <v>976790</v>
      </c>
      <c r="R16" s="137"/>
      <c r="S16" s="137"/>
      <c r="T16" s="133">
        <f>90000+48000+20000+5500+2000+500+5000+10000+10000+2000+1000+10000+2000+10000+2000</f>
        <v>218000</v>
      </c>
      <c r="U16" s="137"/>
      <c r="V16" s="137"/>
      <c r="W16" s="133">
        <v>305350</v>
      </c>
      <c r="X16" s="137"/>
      <c r="Y16" s="137"/>
      <c r="Z16" s="133">
        <f>160000+33000+20000+5500+2000+500+5000+16800+10000+2000+1000+10000+2000+6471+2000</f>
        <v>276271</v>
      </c>
      <c r="AA16" s="137"/>
      <c r="AB16" s="137"/>
      <c r="AC16" s="133">
        <f>160000+28000+20000+5500+2000+500+5000+16800+10000+2000+1000+10000+2000+6000+2000</f>
        <v>270800</v>
      </c>
      <c r="AD16" s="137"/>
      <c r="AE16" s="137"/>
      <c r="AF16" s="133">
        <f>140000+20225+1500+15000+10000</f>
        <v>186725</v>
      </c>
      <c r="AG16" s="137"/>
      <c r="AH16" s="137"/>
      <c r="AI16" s="133">
        <f>191000+30000+19215+101000</f>
        <v>341215</v>
      </c>
      <c r="AJ16" s="137"/>
      <c r="AK16" s="138"/>
      <c r="AL16" s="133">
        <v>200000</v>
      </c>
      <c r="AM16" s="137"/>
      <c r="AN16" s="138"/>
      <c r="AO16" s="133">
        <v>120000</v>
      </c>
      <c r="AP16" s="137"/>
      <c r="AQ16" s="138"/>
      <c r="AR16" s="133">
        <v>40000</v>
      </c>
      <c r="AS16" s="137"/>
      <c r="AT16" s="137"/>
      <c r="AU16" s="133">
        <v>0</v>
      </c>
      <c r="AV16" s="137"/>
      <c r="AW16" s="137"/>
      <c r="AX16" s="133">
        <v>0</v>
      </c>
      <c r="AY16" s="137"/>
      <c r="AZ16" s="138"/>
      <c r="BA16" s="133">
        <f>SUM(B16)+E16+H16+K16+N16+Q16+T16+W16+Z16+AC16+AF16+AI16+AL16+AO16+AR16+AU16+AX16</f>
        <v>7706648</v>
      </c>
    </row>
    <row r="17" spans="1:53">
      <c r="A17" s="132"/>
      <c r="B17" s="133"/>
      <c r="C17" s="137"/>
      <c r="D17" s="132"/>
      <c r="E17" s="133"/>
      <c r="F17" s="137"/>
      <c r="G17" s="132"/>
      <c r="H17" s="133"/>
      <c r="I17" s="137"/>
      <c r="J17" s="138"/>
      <c r="K17" s="133"/>
      <c r="L17" s="137"/>
      <c r="N17" s="133"/>
      <c r="O17" s="137"/>
      <c r="P17" s="137"/>
      <c r="Q17" s="133"/>
      <c r="R17" s="137"/>
      <c r="S17" s="137"/>
      <c r="T17" s="133"/>
      <c r="U17" s="137"/>
      <c r="V17" s="137"/>
      <c r="W17" s="137"/>
      <c r="X17" s="137"/>
      <c r="Y17" s="137"/>
      <c r="Z17" s="133"/>
      <c r="AA17" s="137"/>
      <c r="AB17" s="137"/>
      <c r="AC17" s="133"/>
      <c r="AD17" s="137"/>
      <c r="AE17" s="137"/>
      <c r="AF17" s="133"/>
      <c r="AG17" s="137"/>
      <c r="AH17" s="137"/>
      <c r="AI17" s="133"/>
      <c r="AJ17" s="137"/>
      <c r="AK17" s="138"/>
      <c r="AL17" s="133"/>
      <c r="AM17" s="137"/>
      <c r="AN17" s="138"/>
      <c r="AO17" s="133"/>
      <c r="AP17" s="137"/>
      <c r="AQ17" s="138"/>
      <c r="AR17" s="133"/>
      <c r="AS17" s="137"/>
      <c r="AT17" s="137"/>
      <c r="AU17" s="133"/>
      <c r="AV17" s="137"/>
      <c r="AW17" s="137"/>
      <c r="AX17" s="133"/>
      <c r="AY17" s="137"/>
      <c r="AZ17" s="138"/>
      <c r="BA17" s="133"/>
    </row>
    <row r="18" spans="1:53">
      <c r="A18" s="139" t="s">
        <v>209</v>
      </c>
      <c r="B18" s="140">
        <v>15010</v>
      </c>
      <c r="C18" s="141"/>
      <c r="D18" s="142"/>
      <c r="E18" s="140">
        <v>0</v>
      </c>
      <c r="F18" s="141"/>
      <c r="G18" s="142"/>
      <c r="H18" s="140">
        <v>0</v>
      </c>
      <c r="I18" s="141"/>
      <c r="J18" s="138"/>
      <c r="K18" s="140">
        <v>0</v>
      </c>
      <c r="L18" s="141"/>
      <c r="N18" s="143">
        <v>0</v>
      </c>
      <c r="O18" s="141"/>
      <c r="P18" s="138"/>
      <c r="Q18" s="143">
        <v>0</v>
      </c>
      <c r="R18" s="141"/>
      <c r="S18" s="138"/>
      <c r="T18" s="140">
        <v>0</v>
      </c>
      <c r="U18" s="141"/>
      <c r="V18" s="138"/>
      <c r="W18" s="143">
        <v>0</v>
      </c>
      <c r="X18" s="143"/>
      <c r="Y18" s="144"/>
      <c r="Z18" s="143">
        <v>0</v>
      </c>
      <c r="AA18" s="141"/>
      <c r="AB18" s="138"/>
      <c r="AC18" s="140">
        <v>0</v>
      </c>
      <c r="AD18" s="141"/>
      <c r="AE18" s="138"/>
      <c r="AF18" s="140">
        <v>0</v>
      </c>
      <c r="AG18" s="141"/>
      <c r="AH18" s="138"/>
      <c r="AI18" s="140">
        <v>0</v>
      </c>
      <c r="AJ18" s="141"/>
      <c r="AK18" s="138"/>
      <c r="AL18" s="140">
        <v>0</v>
      </c>
      <c r="AM18" s="141"/>
      <c r="AN18" s="138"/>
      <c r="AO18" s="140">
        <v>0</v>
      </c>
      <c r="AP18" s="141"/>
      <c r="AQ18" s="138"/>
      <c r="AR18" s="140">
        <f>163681-163681</f>
        <v>0</v>
      </c>
      <c r="AS18" s="141"/>
      <c r="AT18" s="138"/>
      <c r="AU18" s="140">
        <v>0</v>
      </c>
      <c r="AV18" s="141"/>
      <c r="AW18" s="138"/>
      <c r="AX18" s="140">
        <v>0</v>
      </c>
      <c r="AY18" s="141"/>
      <c r="AZ18" s="138"/>
      <c r="BA18" s="140">
        <f>SUM(B18)+E18+H18+K18+N18+Q18+T18+W18+Z18+AC18+AF18+AI18+AL18+AO18+AR18+AU18+AX18</f>
        <v>15010</v>
      </c>
    </row>
    <row r="19" spans="1:53" s="68" customFormat="1">
      <c r="A19" s="145" t="s">
        <v>210</v>
      </c>
      <c r="B19" s="146">
        <f>SUM(B8:B18)</f>
        <v>1136363</v>
      </c>
      <c r="C19" s="147"/>
      <c r="D19" s="148"/>
      <c r="E19" s="146">
        <f>SUM(E8:E18)</f>
        <v>952253</v>
      </c>
      <c r="F19" s="147"/>
      <c r="G19" s="148"/>
      <c r="H19" s="146">
        <f>SUM(H8:H18)</f>
        <v>2419090</v>
      </c>
      <c r="I19" s="149">
        <f>I8</f>
        <v>11</v>
      </c>
      <c r="J19" s="150"/>
      <c r="K19" s="146">
        <f>SUM(K8:K18)</f>
        <v>3348225</v>
      </c>
      <c r="L19" s="149">
        <f>L8</f>
        <v>11</v>
      </c>
      <c r="N19" s="146">
        <f>SUM(N8:N18)</f>
        <v>3779865</v>
      </c>
      <c r="O19" s="149">
        <f>O8</f>
        <v>12</v>
      </c>
      <c r="P19" s="151"/>
      <c r="Q19" s="146">
        <f>SUM(Q8:Q18)</f>
        <v>3227230</v>
      </c>
      <c r="R19" s="149">
        <f>R8</f>
        <v>12</v>
      </c>
      <c r="S19" s="151"/>
      <c r="T19" s="146">
        <f>SUM(T8:T18)</f>
        <v>2469908</v>
      </c>
      <c r="U19" s="149">
        <f>U8</f>
        <v>13</v>
      </c>
      <c r="V19" s="151"/>
      <c r="W19" s="146">
        <f>SUM(W8:W18)</f>
        <v>2819595</v>
      </c>
      <c r="X19" s="149">
        <f>X8</f>
        <v>13</v>
      </c>
      <c r="Y19" s="151"/>
      <c r="Z19" s="146">
        <f>SUM(Z8:Z18)</f>
        <v>2820351</v>
      </c>
      <c r="AA19" s="149">
        <f>AA8</f>
        <v>13</v>
      </c>
      <c r="AB19" s="151"/>
      <c r="AC19" s="146">
        <f>SUM(AC8:AC18)</f>
        <v>2755572</v>
      </c>
      <c r="AD19" s="149">
        <f>AD8</f>
        <v>12</v>
      </c>
      <c r="AE19" s="151"/>
      <c r="AF19" s="146">
        <f>SUM(AF8:AF18)</f>
        <v>3997530</v>
      </c>
      <c r="AG19" s="149">
        <f>AG8</f>
        <v>12</v>
      </c>
      <c r="AH19" s="151"/>
      <c r="AI19" s="146">
        <f>SUM(AI8:AI18)</f>
        <v>3190280</v>
      </c>
      <c r="AJ19" s="149">
        <f>AJ8</f>
        <v>10.1</v>
      </c>
      <c r="AK19" s="150"/>
      <c r="AL19" s="146">
        <f>SUM(AL8:AL18)</f>
        <v>2048822</v>
      </c>
      <c r="AM19" s="149">
        <f>AM8</f>
        <v>13</v>
      </c>
      <c r="AN19" s="150"/>
      <c r="AO19" s="146">
        <f>SUM(AO8:AO18)</f>
        <v>1901768</v>
      </c>
      <c r="AP19" s="149">
        <f>AP8</f>
        <v>10.8</v>
      </c>
      <c r="AQ19" s="150"/>
      <c r="AR19" s="146">
        <f>SUM(AR8:AR18)</f>
        <v>1688802</v>
      </c>
      <c r="AS19" s="149">
        <f>AS8</f>
        <v>8.75</v>
      </c>
      <c r="AT19" s="152"/>
      <c r="AU19" s="146">
        <f>SUM(AU8:AU18)</f>
        <v>0</v>
      </c>
      <c r="AV19" s="149" t="str">
        <f>AV8</f>
        <v xml:space="preserve"> </v>
      </c>
      <c r="AW19" s="152"/>
      <c r="AX19" s="146">
        <f>SUM(AX8:AX18)</f>
        <v>0</v>
      </c>
      <c r="AY19" s="149" t="str">
        <f>AY8</f>
        <v xml:space="preserve"> </v>
      </c>
      <c r="AZ19" s="150"/>
      <c r="BA19" s="146">
        <f>SUM(BA8:BA18)</f>
        <v>38555654</v>
      </c>
    </row>
    <row r="20" spans="1:53">
      <c r="A20" s="153"/>
      <c r="B20" s="133"/>
      <c r="C20" s="137"/>
      <c r="D20" s="153"/>
      <c r="E20" s="133"/>
      <c r="F20" s="137"/>
      <c r="G20" s="153"/>
      <c r="H20" s="133"/>
      <c r="I20" s="137"/>
      <c r="J20" s="138"/>
      <c r="K20" s="133"/>
      <c r="L20" s="137"/>
      <c r="N20" s="133" t="s">
        <v>204</v>
      </c>
      <c r="O20" s="137"/>
      <c r="P20" s="137"/>
      <c r="Q20" s="133"/>
      <c r="R20" s="137"/>
      <c r="S20" s="137"/>
      <c r="T20" s="133"/>
      <c r="U20" s="137"/>
      <c r="V20" s="137"/>
      <c r="W20" s="133"/>
      <c r="X20" s="137"/>
      <c r="Y20" s="137"/>
      <c r="Z20" s="154"/>
      <c r="AA20" s="137"/>
      <c r="AB20" s="137"/>
      <c r="AC20" s="133"/>
      <c r="AD20" s="137"/>
      <c r="AE20" s="137"/>
      <c r="AF20" s="133"/>
      <c r="AG20" s="137"/>
      <c r="AH20" s="137"/>
      <c r="AI20" s="133"/>
      <c r="AJ20" s="137"/>
      <c r="AK20" s="138"/>
      <c r="AL20" s="133"/>
      <c r="AM20" s="137"/>
      <c r="AN20" s="138"/>
      <c r="AO20" s="133" t="s">
        <v>204</v>
      </c>
      <c r="AP20" s="137"/>
      <c r="AQ20" s="138"/>
      <c r="AR20" s="155"/>
      <c r="AS20" s="137"/>
      <c r="AT20" s="137"/>
      <c r="AU20" s="133"/>
      <c r="AV20" s="137"/>
      <c r="AW20" s="137"/>
      <c r="AX20" s="133"/>
      <c r="AY20" s="137"/>
      <c r="AZ20" s="138"/>
    </row>
    <row r="21" spans="1:53">
      <c r="A21" s="156" t="s">
        <v>211</v>
      </c>
      <c r="B21" s="133"/>
      <c r="C21" s="137"/>
      <c r="D21" s="142"/>
      <c r="E21" s="133"/>
      <c r="F21" s="137"/>
      <c r="G21" s="142"/>
      <c r="H21" s="133"/>
      <c r="I21" s="137"/>
      <c r="J21" s="138"/>
      <c r="K21" s="133"/>
      <c r="L21" s="137"/>
      <c r="N21" s="137"/>
      <c r="O21" s="137"/>
      <c r="P21" s="137"/>
      <c r="Q21" s="137"/>
      <c r="R21" s="137"/>
      <c r="S21" s="137"/>
      <c r="T21" s="137"/>
      <c r="U21" s="137"/>
      <c r="V21" s="137"/>
      <c r="W21" s="137"/>
      <c r="X21" s="137"/>
      <c r="Y21" s="137"/>
      <c r="Z21" s="137"/>
      <c r="AA21" s="137"/>
      <c r="AB21" s="137"/>
      <c r="AC21" s="133"/>
      <c r="AD21" s="137"/>
      <c r="AE21" s="137"/>
      <c r="AF21" s="137"/>
      <c r="AG21" s="137"/>
      <c r="AH21" s="137"/>
      <c r="AI21" s="137"/>
      <c r="AJ21" s="137"/>
      <c r="AK21" s="138"/>
      <c r="AL21" s="137"/>
      <c r="AM21" s="137"/>
      <c r="AN21" s="138"/>
      <c r="AO21" s="137"/>
      <c r="AP21" s="137"/>
      <c r="AQ21" s="138"/>
      <c r="AR21" s="137"/>
      <c r="AS21" s="137"/>
      <c r="AT21" s="137"/>
      <c r="AU21" s="137"/>
      <c r="AV21" s="137"/>
      <c r="AW21" s="137"/>
      <c r="AX21" s="137"/>
      <c r="AY21" s="137"/>
      <c r="AZ21" s="138"/>
    </row>
    <row r="22" spans="1:53" s="45" customFormat="1">
      <c r="A22" s="68" t="s">
        <v>212</v>
      </c>
      <c r="B22" s="1680" t="s">
        <v>213</v>
      </c>
      <c r="C22" s="1680"/>
      <c r="D22" s="157"/>
      <c r="E22" s="1680" t="s">
        <v>213</v>
      </c>
      <c r="F22" s="1680"/>
      <c r="G22" s="157"/>
      <c r="H22" s="1680" t="s">
        <v>213</v>
      </c>
      <c r="I22" s="1680"/>
      <c r="J22" s="158"/>
      <c r="K22" s="1680" t="s">
        <v>213</v>
      </c>
      <c r="L22" s="1680"/>
      <c r="N22" s="1680" t="s">
        <v>213</v>
      </c>
      <c r="O22" s="1680"/>
      <c r="P22" s="158"/>
      <c r="Q22" s="1680" t="s">
        <v>213</v>
      </c>
      <c r="R22" s="1680"/>
      <c r="S22" s="158"/>
      <c r="T22" s="1680" t="s">
        <v>213</v>
      </c>
      <c r="U22" s="1680"/>
      <c r="V22" s="158"/>
      <c r="W22" s="1680" t="s">
        <v>213</v>
      </c>
      <c r="X22" s="1680"/>
      <c r="Y22" s="158"/>
      <c r="Z22" s="1680" t="s">
        <v>213</v>
      </c>
      <c r="AA22" s="1680"/>
      <c r="AB22" s="158"/>
      <c r="AC22" s="1680" t="s">
        <v>213</v>
      </c>
      <c r="AD22" s="1680"/>
      <c r="AE22" s="158"/>
      <c r="AF22" s="1680" t="s">
        <v>213</v>
      </c>
      <c r="AG22" s="1680"/>
      <c r="AH22" s="158"/>
      <c r="AI22" s="1680" t="s">
        <v>213</v>
      </c>
      <c r="AJ22" s="1680"/>
      <c r="AK22" s="158"/>
      <c r="AL22" s="1680" t="s">
        <v>213</v>
      </c>
      <c r="AM22" s="1680"/>
      <c r="AN22" s="158"/>
      <c r="AO22" s="1680" t="s">
        <v>213</v>
      </c>
      <c r="AP22" s="1680"/>
      <c r="AQ22" s="158"/>
      <c r="AR22" s="1680" t="s">
        <v>213</v>
      </c>
      <c r="AS22" s="1680"/>
      <c r="AT22" s="158"/>
      <c r="AU22" s="1680" t="s">
        <v>213</v>
      </c>
      <c r="AV22" s="1680"/>
      <c r="AW22" s="158"/>
      <c r="AX22" s="1680" t="s">
        <v>213</v>
      </c>
      <c r="AY22" s="1680"/>
      <c r="AZ22" s="158"/>
      <c r="BA22" s="159" t="s">
        <v>214</v>
      </c>
    </row>
    <row r="23" spans="1:53" s="45" customFormat="1">
      <c r="A23" s="68"/>
      <c r="B23" s="158"/>
      <c r="C23" s="158"/>
      <c r="D23" s="157"/>
      <c r="E23" s="158"/>
      <c r="F23" s="158"/>
      <c r="G23" s="157"/>
      <c r="H23" s="158"/>
      <c r="I23" s="158"/>
      <c r="J23" s="158"/>
      <c r="K23" s="158"/>
      <c r="L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60"/>
    </row>
    <row r="24" spans="1:53">
      <c r="A24" s="68" t="s">
        <v>215</v>
      </c>
    </row>
    <row r="25" spans="1:53" s="162" customFormat="1">
      <c r="A25" s="161" t="s">
        <v>216</v>
      </c>
      <c r="I25" s="133"/>
      <c r="J25" s="163"/>
      <c r="L25" s="133"/>
      <c r="O25" s="133"/>
      <c r="P25" s="133"/>
      <c r="R25" s="133"/>
      <c r="S25" s="133"/>
      <c r="T25" s="133"/>
      <c r="U25" s="133"/>
      <c r="V25" s="133"/>
      <c r="Y25" s="133"/>
      <c r="AB25" s="133"/>
      <c r="AD25" s="45"/>
      <c r="AE25" s="133"/>
      <c r="AF25" s="164">
        <v>24208.33</v>
      </c>
      <c r="AG25" s="165">
        <v>1</v>
      </c>
      <c r="AI25" s="162">
        <v>48058.31</v>
      </c>
      <c r="AJ25" s="136">
        <v>1</v>
      </c>
      <c r="AL25" s="162">
        <v>175000</v>
      </c>
      <c r="AM25" s="136">
        <v>1</v>
      </c>
      <c r="AN25" s="133"/>
      <c r="AO25" s="162">
        <v>125000</v>
      </c>
      <c r="AP25" s="136">
        <v>1</v>
      </c>
      <c r="AR25" s="162">
        <v>125000</v>
      </c>
      <c r="AS25" s="166">
        <v>1.9</v>
      </c>
      <c r="AT25" s="45"/>
      <c r="AU25" s="162">
        <v>125000</v>
      </c>
      <c r="AV25" s="136">
        <v>1</v>
      </c>
      <c r="AW25" s="45"/>
      <c r="AX25" s="162">
        <v>125000</v>
      </c>
      <c r="AY25" s="136">
        <v>1</v>
      </c>
      <c r="BA25" s="133">
        <f>SUM(B25)+E25+H25+K25+N25+Q25+T25+W25+Z25+AC25+AF25+AI25+AL25+AO25+AR25+AU25+AX25</f>
        <v>747266.64</v>
      </c>
    </row>
    <row r="26" spans="1:53" s="162" customFormat="1">
      <c r="A26" s="161" t="s">
        <v>217</v>
      </c>
      <c r="B26" s="133"/>
      <c r="C26" s="133"/>
      <c r="D26" s="133"/>
      <c r="E26" s="133"/>
      <c r="F26" s="133"/>
      <c r="G26" s="133"/>
      <c r="I26" s="45"/>
      <c r="J26" s="167"/>
      <c r="K26" s="45"/>
      <c r="L26" s="45"/>
      <c r="M26" s="45"/>
      <c r="N26" s="45"/>
      <c r="O26" s="45"/>
      <c r="P26" s="45"/>
      <c r="R26" s="45"/>
      <c r="S26" s="45"/>
      <c r="U26" s="45"/>
      <c r="V26" s="45"/>
      <c r="X26" s="45"/>
      <c r="Y26" s="45"/>
      <c r="AA26" s="45"/>
      <c r="AB26" s="45"/>
      <c r="AD26" s="45"/>
      <c r="AE26" s="45"/>
      <c r="AH26" s="133"/>
      <c r="AK26" s="133"/>
      <c r="AM26" s="45"/>
      <c r="AN26" s="45"/>
      <c r="AO26" s="133">
        <v>11912.76</v>
      </c>
      <c r="AP26" s="136">
        <v>1.5</v>
      </c>
      <c r="AR26" s="133">
        <v>79051.240000000005</v>
      </c>
      <c r="AS26" s="166">
        <v>1.25</v>
      </c>
      <c r="AZ26" s="133"/>
      <c r="BA26" s="133">
        <f>SUM(B26)+E26+H26+K26+N26+Q26+T26+W26+Z26+AC26+AF26+AI26+AL26+AO26+AR26+AU26+AX26</f>
        <v>90964</v>
      </c>
    </row>
    <row r="28" spans="1:53">
      <c r="A28" s="68" t="s">
        <v>218</v>
      </c>
    </row>
    <row r="29" spans="1:53" s="45" customFormat="1">
      <c r="A29" s="161" t="s">
        <v>219</v>
      </c>
      <c r="B29" s="162"/>
      <c r="E29" s="162"/>
      <c r="AL29" s="168">
        <f>100583+61115+10000+20000</f>
        <v>191698</v>
      </c>
      <c r="AM29" s="169"/>
      <c r="AN29" s="169"/>
      <c r="AO29" s="168">
        <f>90480+6800+4000</f>
        <v>101280</v>
      </c>
      <c r="AR29" s="168">
        <f>117480+6800+10000+4000</f>
        <v>138280</v>
      </c>
      <c r="AU29" s="168">
        <f>87480+28050+10000+4000</f>
        <v>129530</v>
      </c>
      <c r="BA29" s="133">
        <f>SUM(B29)+E29+H29+K29+N29+Q29+T29+W29+Z29+AC29+AF29+AI29+AL29+AO29+AR29+AU29+AX29</f>
        <v>560788</v>
      </c>
    </row>
    <row r="30" spans="1:53" s="45" customFormat="1">
      <c r="A30" s="161" t="s">
        <v>220</v>
      </c>
      <c r="B30" s="162"/>
      <c r="E30" s="162"/>
      <c r="AI30" s="133"/>
      <c r="AL30" s="154">
        <v>200000</v>
      </c>
      <c r="AM30" s="167"/>
      <c r="AN30" s="167"/>
      <c r="AO30" s="162">
        <v>200000</v>
      </c>
      <c r="AP30" s="167"/>
      <c r="AQ30" s="167"/>
      <c r="AS30" s="167"/>
      <c r="AT30" s="167"/>
      <c r="AU30" s="167"/>
      <c r="AV30" s="167"/>
      <c r="AW30" s="167"/>
      <c r="AX30" s="167"/>
      <c r="AY30" s="167"/>
      <c r="BA30" s="133">
        <f>SUM(B30)+E30+H30+K30+N30+Q30+T30+W30+Z30+AC30+AF30+AI30+AL30+AO30+AU30+AX30</f>
        <v>400000</v>
      </c>
    </row>
    <row r="31" spans="1:53" s="45" customFormat="1">
      <c r="A31" s="161" t="s">
        <v>221</v>
      </c>
      <c r="B31" s="162"/>
      <c r="E31" s="162"/>
      <c r="AC31" s="162">
        <v>28621</v>
      </c>
      <c r="AI31" s="133"/>
      <c r="AL31" s="164"/>
      <c r="AM31" s="167"/>
      <c r="AN31" s="167"/>
      <c r="AO31" s="164"/>
      <c r="AP31" s="167"/>
      <c r="AQ31" s="167"/>
      <c r="AR31" s="167"/>
      <c r="AS31" s="167"/>
      <c r="AT31" s="167"/>
      <c r="AU31" s="167"/>
      <c r="AV31" s="167"/>
      <c r="AW31" s="167"/>
      <c r="AX31" s="167"/>
      <c r="AY31" s="167"/>
      <c r="BA31" s="133">
        <f>SUM(B31)+E31+H31+K31+N31+Q31+T31+W31+Z31+AC31+AF31+AI31+AL31+AO31+AR31+AU31+AX31</f>
        <v>28621</v>
      </c>
    </row>
    <row r="32" spans="1:53" s="45" customFormat="1">
      <c r="A32" s="161" t="s">
        <v>222</v>
      </c>
      <c r="B32" s="162"/>
      <c r="E32" s="162"/>
      <c r="AF32" s="133">
        <v>128750</v>
      </c>
      <c r="AI32" s="133">
        <v>524000</v>
      </c>
      <c r="AL32" s="133">
        <v>157500</v>
      </c>
      <c r="AM32" s="167"/>
      <c r="AN32" s="167"/>
      <c r="AO32" s="164">
        <v>157500</v>
      </c>
      <c r="AP32" s="167"/>
      <c r="AQ32" s="167"/>
      <c r="AR32" s="167"/>
      <c r="AS32" s="167"/>
      <c r="AT32" s="167"/>
      <c r="AU32" s="167"/>
      <c r="AV32" s="167"/>
      <c r="AW32" s="167"/>
      <c r="AX32" s="167"/>
      <c r="AY32" s="167"/>
      <c r="BA32" s="133">
        <f>SUM(B32)+E32+H32+K32+N32+Q32+T32+W32+Z32+AC32+AF32+AI32+AL32+AO32+AR32+AU32+AX32</f>
        <v>967750</v>
      </c>
    </row>
    <row r="33" spans="1:53" s="162" customFormat="1">
      <c r="A33" s="161" t="s">
        <v>223</v>
      </c>
      <c r="B33" s="133"/>
      <c r="C33" s="133"/>
      <c r="D33" s="133"/>
      <c r="E33" s="133"/>
      <c r="F33" s="133"/>
      <c r="G33" s="133"/>
      <c r="J33" s="164"/>
      <c r="AA33" s="45"/>
      <c r="AC33" s="154"/>
      <c r="AE33" s="170"/>
      <c r="AF33" s="133">
        <v>57937.5</v>
      </c>
      <c r="AH33" s="133"/>
      <c r="AI33" s="133">
        <f>362595.15-16093+16093</f>
        <v>362595.15</v>
      </c>
      <c r="AJ33" s="133"/>
      <c r="AK33" s="133"/>
      <c r="AL33" s="133">
        <v>157500</v>
      </c>
      <c r="AP33" s="169"/>
      <c r="AQ33" s="169"/>
      <c r="AS33" s="136"/>
      <c r="AT33" s="45"/>
      <c r="AU33" s="45"/>
      <c r="AV33" s="45"/>
      <c r="AW33" s="45"/>
      <c r="AX33" s="45"/>
      <c r="AY33" s="45"/>
      <c r="AZ33" s="133"/>
      <c r="BA33" s="133">
        <f>SUM(B33)+E33+H33+K33+N33+Q33+T33+W33+Z33+AC33+AF33+AI33+AL33+AO33+AR33+AU33+AX33</f>
        <v>578032.65</v>
      </c>
    </row>
    <row r="34" spans="1:53" s="162" customFormat="1">
      <c r="A34" s="171" t="s">
        <v>224</v>
      </c>
      <c r="I34" s="45"/>
      <c r="J34" s="167"/>
      <c r="K34" s="45"/>
      <c r="L34" s="45"/>
      <c r="M34" s="45"/>
      <c r="N34" s="45"/>
      <c r="O34" s="45"/>
      <c r="P34" s="45"/>
      <c r="R34" s="45"/>
      <c r="S34" s="45"/>
      <c r="U34" s="45"/>
      <c r="V34" s="45"/>
      <c r="W34" s="45"/>
      <c r="X34" s="45"/>
      <c r="Y34" s="45"/>
      <c r="Z34" s="45"/>
      <c r="AA34" s="45"/>
      <c r="AB34" s="45"/>
      <c r="AC34" s="45"/>
      <c r="AD34" s="45"/>
      <c r="AE34" s="45"/>
      <c r="AG34" s="45"/>
      <c r="AI34" s="162">
        <v>30000</v>
      </c>
      <c r="AM34" s="45"/>
      <c r="AN34" s="45"/>
      <c r="AT34" s="169"/>
      <c r="AU34" s="169"/>
      <c r="AV34" s="169"/>
      <c r="AW34" s="169"/>
      <c r="AX34" s="169"/>
      <c r="AY34" s="169"/>
      <c r="BA34" s="133">
        <f>SUM(B34)+E34+H34+K34+N34+Q34+T34+W34+Z34+AC34+AF34+AI34+AL34+AO34+AR34+AU34+AX34</f>
        <v>30000</v>
      </c>
    </row>
    <row r="35" spans="1:53" s="162" customFormat="1">
      <c r="A35" s="172" t="s">
        <v>238</v>
      </c>
      <c r="B35" s="173">
        <f>SUM(B25:B34)</f>
        <v>0</v>
      </c>
      <c r="C35" s="173"/>
      <c r="D35" s="173"/>
      <c r="E35" s="173">
        <f>SUM(E25:E34)</f>
        <v>0</v>
      </c>
      <c r="F35" s="173"/>
      <c r="G35" s="173"/>
      <c r="H35" s="173">
        <f>SUM(H25:H34)</f>
        <v>0</v>
      </c>
      <c r="I35" s="65"/>
      <c r="J35" s="174"/>
      <c r="K35" s="173">
        <f>SUM(K25:K34)</f>
        <v>0</v>
      </c>
      <c r="L35" s="65"/>
      <c r="M35" s="65"/>
      <c r="N35" s="173">
        <f>SUM(N25:N34)</f>
        <v>0</v>
      </c>
      <c r="O35" s="65"/>
      <c r="P35" s="65"/>
      <c r="Q35" s="173">
        <f>SUM(Q25:Q34)</f>
        <v>0</v>
      </c>
      <c r="R35" s="65"/>
      <c r="S35" s="65"/>
      <c r="T35" s="173">
        <f>SUM(T25:T34)</f>
        <v>0</v>
      </c>
      <c r="U35" s="65"/>
      <c r="V35" s="65"/>
      <c r="W35" s="173">
        <f>SUM(W25:W34)</f>
        <v>0</v>
      </c>
      <c r="X35" s="65"/>
      <c r="Y35" s="65"/>
      <c r="Z35" s="173">
        <f>SUM(Z25:Z34)</f>
        <v>0</v>
      </c>
      <c r="AA35" s="65"/>
      <c r="AB35" s="65"/>
      <c r="AC35" s="173">
        <f>SUM(AC25:AC34)</f>
        <v>28621</v>
      </c>
      <c r="AD35" s="65"/>
      <c r="AE35" s="65"/>
      <c r="AF35" s="173">
        <f>SUM(AF25:AF34)</f>
        <v>210895.83000000002</v>
      </c>
      <c r="AG35" s="65"/>
      <c r="AH35" s="173"/>
      <c r="AI35" s="173">
        <f>SUM(AI25:AI34)</f>
        <v>964653.46000000008</v>
      </c>
      <c r="AJ35" s="173"/>
      <c r="AK35" s="173"/>
      <c r="AL35" s="173">
        <f>SUM(AL25:AL34)</f>
        <v>881698</v>
      </c>
      <c r="AM35" s="65"/>
      <c r="AN35" s="65"/>
      <c r="AO35" s="173">
        <f>SUM(AO25:AO34)</f>
        <v>595692.76</v>
      </c>
      <c r="AP35" s="173"/>
      <c r="AQ35" s="173"/>
      <c r="AR35" s="173">
        <f>SUM(AR25:AR34)</f>
        <v>342331.24</v>
      </c>
      <c r="AS35" s="173"/>
      <c r="AT35" s="175"/>
      <c r="AU35" s="173">
        <f>SUM(AU25:AU34)</f>
        <v>254530</v>
      </c>
      <c r="AV35" s="175"/>
      <c r="AW35" s="175"/>
      <c r="AX35" s="173">
        <f>SUM(AX25:AX34)</f>
        <v>125000</v>
      </c>
      <c r="AY35" s="175"/>
      <c r="AZ35" s="173"/>
      <c r="BA35" s="173">
        <f>SUM(BA25:BA34)</f>
        <v>3403422.29</v>
      </c>
    </row>
    <row r="37" spans="1:53">
      <c r="A37" s="176" t="s">
        <v>225</v>
      </c>
    </row>
    <row r="38" spans="1:53" s="45" customFormat="1">
      <c r="A38" s="171" t="s">
        <v>226</v>
      </c>
      <c r="B38" s="162"/>
      <c r="E38" s="162"/>
      <c r="K38" s="162">
        <v>0</v>
      </c>
      <c r="N38" s="162">
        <v>0</v>
      </c>
      <c r="AI38" s="133"/>
      <c r="AL38" s="164"/>
      <c r="AM38" s="167"/>
      <c r="AN38" s="167"/>
      <c r="AO38" s="164"/>
      <c r="AP38" s="167"/>
      <c r="AQ38" s="167"/>
      <c r="AR38" s="167"/>
      <c r="AS38" s="167"/>
      <c r="AT38" s="167"/>
      <c r="AU38" s="167"/>
      <c r="AV38" s="167"/>
      <c r="AW38" s="167"/>
      <c r="AX38" s="167"/>
      <c r="AY38" s="167"/>
      <c r="BA38" s="133">
        <f t="shared" ref="BA38:BA45" si="0">SUM(B38)+E38+H38+K38+N38+Q38+T38+W38+Z38+AC38+AF38+AI38+AL38+AO38+AR38+AU38+AX38</f>
        <v>0</v>
      </c>
    </row>
    <row r="39" spans="1:53" s="45" customFormat="1">
      <c r="A39" s="177" t="s">
        <v>227</v>
      </c>
      <c r="B39" s="162"/>
      <c r="E39" s="162"/>
      <c r="Q39" s="162">
        <v>10000</v>
      </c>
      <c r="AI39" s="133"/>
      <c r="AL39" s="164"/>
      <c r="AM39" s="167"/>
      <c r="AN39" s="167"/>
      <c r="AO39" s="164"/>
      <c r="AP39" s="167"/>
      <c r="AQ39" s="167"/>
      <c r="AR39" s="167"/>
      <c r="AS39" s="167"/>
      <c r="AT39" s="167"/>
      <c r="AU39" s="167"/>
      <c r="AV39" s="167"/>
      <c r="AW39" s="167"/>
      <c r="AX39" s="167"/>
      <c r="AY39" s="167"/>
      <c r="BA39" s="133">
        <f t="shared" si="0"/>
        <v>10000</v>
      </c>
    </row>
    <row r="40" spans="1:53" s="45" customFormat="1">
      <c r="A40" s="178" t="s">
        <v>228</v>
      </c>
      <c r="B40" s="162"/>
      <c r="E40" s="162"/>
      <c r="H40" s="179">
        <v>0</v>
      </c>
      <c r="AI40" s="133"/>
      <c r="AL40" s="164"/>
      <c r="AM40" s="167"/>
      <c r="AN40" s="167"/>
      <c r="AO40" s="164"/>
      <c r="AP40" s="167"/>
      <c r="AQ40" s="167"/>
      <c r="AR40" s="167"/>
      <c r="AS40" s="167"/>
      <c r="AT40" s="167"/>
      <c r="AU40" s="167"/>
      <c r="AV40" s="167"/>
      <c r="AW40" s="167"/>
      <c r="AX40" s="167"/>
      <c r="AY40" s="167"/>
      <c r="BA40" s="133">
        <f t="shared" si="0"/>
        <v>0</v>
      </c>
    </row>
    <row r="41" spans="1:53" s="45" customFormat="1">
      <c r="A41" s="161" t="s">
        <v>229</v>
      </c>
      <c r="B41" s="162"/>
      <c r="E41" s="162"/>
      <c r="H41" s="162"/>
      <c r="I41" s="162"/>
      <c r="J41" s="164"/>
      <c r="L41" s="162"/>
      <c r="M41" s="162"/>
      <c r="O41" s="162"/>
      <c r="P41" s="162"/>
      <c r="Q41" s="162">
        <f>30000+40000</f>
        <v>70000</v>
      </c>
      <c r="R41" s="162"/>
      <c r="S41" s="162"/>
      <c r="T41" s="162">
        <f>30000+40000</f>
        <v>70000</v>
      </c>
      <c r="U41" s="162"/>
      <c r="V41" s="162"/>
      <c r="Y41" s="162"/>
      <c r="Z41" s="154"/>
      <c r="AA41" s="136"/>
      <c r="AB41" s="162"/>
      <c r="AD41" s="162"/>
      <c r="AE41" s="162"/>
      <c r="AG41" s="162"/>
      <c r="AM41" s="162"/>
      <c r="AN41" s="162"/>
      <c r="AT41" s="133"/>
      <c r="AV41" s="133"/>
      <c r="AW41" s="133"/>
      <c r="AX41" s="133"/>
      <c r="AY41" s="133"/>
      <c r="BA41" s="133">
        <f t="shared" si="0"/>
        <v>140000</v>
      </c>
    </row>
    <row r="42" spans="1:53" s="45" customFormat="1">
      <c r="A42" s="177" t="s">
        <v>230</v>
      </c>
      <c r="B42" s="162"/>
      <c r="E42" s="162"/>
      <c r="Q42" s="162">
        <v>45000</v>
      </c>
      <c r="AL42" s="164"/>
      <c r="AM42" s="167"/>
      <c r="AN42" s="167"/>
      <c r="AO42" s="164"/>
      <c r="AP42" s="167"/>
      <c r="AQ42" s="167"/>
      <c r="AR42" s="167"/>
      <c r="AS42" s="167"/>
      <c r="AT42" s="167"/>
      <c r="AU42" s="167"/>
      <c r="AV42" s="167"/>
      <c r="AW42" s="167"/>
      <c r="AX42" s="167"/>
      <c r="AY42" s="167"/>
      <c r="BA42" s="133">
        <f t="shared" si="0"/>
        <v>45000</v>
      </c>
    </row>
    <row r="43" spans="1:53" s="45" customFormat="1">
      <c r="A43" s="161" t="s">
        <v>231</v>
      </c>
      <c r="B43" s="170">
        <v>0</v>
      </c>
      <c r="C43" s="180"/>
      <c r="D43" s="180"/>
      <c r="E43" s="170">
        <v>0</v>
      </c>
      <c r="F43" s="180"/>
      <c r="G43" s="180"/>
      <c r="H43" s="181">
        <v>0</v>
      </c>
      <c r="AI43" s="133"/>
      <c r="AL43" s="164"/>
      <c r="AM43" s="167"/>
      <c r="AN43" s="167"/>
      <c r="AO43" s="164"/>
      <c r="AP43" s="167"/>
      <c r="AQ43" s="167"/>
      <c r="AR43" s="167"/>
      <c r="AS43" s="167"/>
      <c r="AT43" s="167"/>
      <c r="AU43" s="167"/>
      <c r="AV43" s="167"/>
      <c r="AW43" s="167"/>
      <c r="AX43" s="167"/>
      <c r="AY43" s="167"/>
      <c r="BA43" s="133">
        <f t="shared" si="0"/>
        <v>0</v>
      </c>
    </row>
    <row r="44" spans="1:53" s="45" customFormat="1">
      <c r="A44" s="161" t="s">
        <v>232</v>
      </c>
      <c r="B44" s="162"/>
      <c r="E44" s="162"/>
      <c r="K44" s="133">
        <v>125000</v>
      </c>
      <c r="N44" s="133">
        <v>125000</v>
      </c>
      <c r="Q44" s="133">
        <v>125000</v>
      </c>
      <c r="AI44" s="133"/>
      <c r="AL44" s="164"/>
      <c r="AM44" s="167"/>
      <c r="AN44" s="167"/>
      <c r="AO44" s="164"/>
      <c r="AP44" s="167"/>
      <c r="AQ44" s="167"/>
      <c r="AR44" s="167"/>
      <c r="AS44" s="167"/>
      <c r="AT44" s="167"/>
      <c r="AU44" s="167"/>
      <c r="AV44" s="167"/>
      <c r="AW44" s="167"/>
      <c r="AX44" s="167"/>
      <c r="AY44" s="167"/>
      <c r="BA44" s="133">
        <f t="shared" si="0"/>
        <v>375000</v>
      </c>
    </row>
    <row r="45" spans="1:53" s="45" customFormat="1">
      <c r="A45" s="161" t="s">
        <v>233</v>
      </c>
      <c r="B45" s="162"/>
      <c r="E45" s="162"/>
      <c r="Q45" s="133">
        <v>6000</v>
      </c>
      <c r="AI45" s="133"/>
      <c r="AL45" s="164"/>
      <c r="AM45" s="167"/>
      <c r="AN45" s="167"/>
      <c r="AO45" s="164"/>
      <c r="AP45" s="167"/>
      <c r="AQ45" s="167"/>
      <c r="AR45" s="167"/>
      <c r="AS45" s="167"/>
      <c r="AT45" s="167"/>
      <c r="AU45" s="167"/>
      <c r="AV45" s="167"/>
      <c r="AW45" s="167"/>
      <c r="AX45" s="167"/>
      <c r="AY45" s="167"/>
      <c r="BA45" s="133">
        <f t="shared" si="0"/>
        <v>6000</v>
      </c>
    </row>
    <row r="46" spans="1:53">
      <c r="A46" s="182" t="s">
        <v>234</v>
      </c>
      <c r="B46" s="173">
        <f>SUM(B38:B45)</f>
        <v>0</v>
      </c>
      <c r="E46" s="173">
        <f>SUM(E38:E45)</f>
        <v>0</v>
      </c>
      <c r="H46" s="173">
        <f>SUM(H38:H45)</f>
        <v>0</v>
      </c>
      <c r="K46" s="173">
        <f>SUM(K38:K45)</f>
        <v>125000</v>
      </c>
      <c r="N46" s="173">
        <f>SUM(N38:N45)</f>
        <v>125000</v>
      </c>
      <c r="Q46" s="173">
        <f>SUM(Q38:Q45)</f>
        <v>256000</v>
      </c>
      <c r="T46" s="173">
        <f>SUM(T38:T45)</f>
        <v>70000</v>
      </c>
      <c r="W46" s="173">
        <f>SUM(W38:W45)</f>
        <v>0</v>
      </c>
      <c r="Z46" s="173">
        <f>SUM(Z38:Z45)</f>
        <v>0</v>
      </c>
      <c r="AC46" s="173">
        <f>SUM(AC38:AC45)</f>
        <v>0</v>
      </c>
      <c r="AF46" s="173">
        <f>SUM(AF38:AF45)</f>
        <v>0</v>
      </c>
      <c r="AI46" s="173">
        <f>SUM(AI38:AI45)</f>
        <v>0</v>
      </c>
      <c r="AL46" s="173">
        <f>SUM(AL38:AL45)</f>
        <v>0</v>
      </c>
      <c r="AO46" s="173">
        <f>SUM(AO38:AO45)</f>
        <v>0</v>
      </c>
      <c r="AR46" s="173">
        <f>SUM(AR38:AR45)</f>
        <v>0</v>
      </c>
      <c r="AU46" s="173">
        <f>SUM(AU38:AU45)</f>
        <v>0</v>
      </c>
      <c r="AX46" s="173">
        <f>SUM(AX38:AX45)</f>
        <v>0</v>
      </c>
      <c r="BA46" s="173">
        <f>SUM(BA38:BA45)</f>
        <v>576000</v>
      </c>
    </row>
    <row r="49" spans="1:53">
      <c r="A49" s="176" t="s">
        <v>235</v>
      </c>
    </row>
    <row r="50" spans="1:53" s="65" customFormat="1">
      <c r="A50" s="182" t="s">
        <v>240</v>
      </c>
      <c r="B50" s="183"/>
      <c r="C50" s="183"/>
      <c r="D50" s="184"/>
      <c r="E50" s="183"/>
      <c r="F50" s="183"/>
      <c r="G50" s="184"/>
      <c r="I50" s="173"/>
      <c r="J50" s="185"/>
      <c r="L50" s="173"/>
      <c r="M50" s="173"/>
      <c r="O50" s="173"/>
      <c r="P50" s="173"/>
      <c r="R50" s="173"/>
      <c r="S50" s="173"/>
      <c r="U50" s="173"/>
      <c r="V50" s="173"/>
      <c r="W50" s="173">
        <v>160000</v>
      </c>
      <c r="X50" s="173"/>
      <c r="Y50" s="173"/>
      <c r="Z50" s="173">
        <f>160000</f>
        <v>160000</v>
      </c>
      <c r="AA50" s="186">
        <v>6.5</v>
      </c>
      <c r="AB50" s="173"/>
      <c r="AC50" s="173">
        <f>160000+40000+40000+26666</f>
        <v>266666</v>
      </c>
      <c r="AD50" s="186">
        <v>6.5</v>
      </c>
      <c r="AE50" s="173"/>
      <c r="AF50" s="173">
        <f>40000+40000+40000+40000</f>
        <v>160000</v>
      </c>
      <c r="AG50" s="186">
        <v>6.5</v>
      </c>
      <c r="AH50" s="183"/>
      <c r="AI50" s="187">
        <v>1010000</v>
      </c>
      <c r="AJ50" s="186">
        <v>6.5</v>
      </c>
      <c r="AK50" s="183"/>
      <c r="AM50" s="173"/>
      <c r="AN50" s="173"/>
      <c r="AQ50" s="173"/>
      <c r="AT50" s="186"/>
      <c r="AW50" s="186"/>
      <c r="AZ50" s="183"/>
      <c r="BA50" s="173">
        <f>SUM(B50)+E50+H50+K50+N50+Q50+T50+W50+Z50+AC50+AF50+AI50+AL50+AO50+AR50+AU50+AX50</f>
        <v>1756666</v>
      </c>
    </row>
    <row r="52" spans="1:53" s="45" customFormat="1">
      <c r="A52" s="89" t="s">
        <v>237</v>
      </c>
      <c r="B52" s="162"/>
      <c r="E52" s="162"/>
      <c r="AI52" s="133"/>
      <c r="AL52" s="164"/>
      <c r="AM52" s="167"/>
      <c r="AN52" s="167"/>
      <c r="AO52" s="164"/>
      <c r="AP52" s="167"/>
      <c r="AQ52" s="167"/>
      <c r="AR52" s="167"/>
      <c r="AS52" s="167"/>
      <c r="AT52" s="167"/>
      <c r="AU52" s="167"/>
      <c r="AV52" s="167"/>
      <c r="AW52" s="167"/>
      <c r="AX52" s="167"/>
      <c r="AY52" s="167"/>
      <c r="BA52" s="133"/>
    </row>
    <row r="53" spans="1:53" s="191" customFormat="1">
      <c r="A53" s="188" t="s">
        <v>236</v>
      </c>
      <c r="B53" s="189">
        <f>B50+B46+B35</f>
        <v>0</v>
      </c>
      <c r="C53" s="188"/>
      <c r="D53" s="188"/>
      <c r="E53" s="189">
        <f>E50+E46+E35</f>
        <v>0</v>
      </c>
      <c r="F53" s="188"/>
      <c r="G53" s="188"/>
      <c r="H53" s="189">
        <f>H50+H46+H35</f>
        <v>0</v>
      </c>
      <c r="I53" s="188"/>
      <c r="J53" s="190"/>
      <c r="K53" s="189">
        <f>K50+K46+K35</f>
        <v>125000</v>
      </c>
      <c r="L53" s="188"/>
      <c r="M53" s="188"/>
      <c r="N53" s="189">
        <f>N50+N46+N35</f>
        <v>125000</v>
      </c>
      <c r="O53" s="188"/>
      <c r="P53" s="188"/>
      <c r="Q53" s="189">
        <f>Q50+Q46+Q35</f>
        <v>256000</v>
      </c>
      <c r="R53" s="188"/>
      <c r="S53" s="188"/>
      <c r="T53" s="189">
        <f>T50+T46+T35</f>
        <v>70000</v>
      </c>
      <c r="U53" s="188"/>
      <c r="V53" s="188"/>
      <c r="W53" s="189">
        <f>W50+W46+W35</f>
        <v>160000</v>
      </c>
      <c r="X53" s="188"/>
      <c r="Y53" s="188"/>
      <c r="Z53" s="189">
        <f>Z50+Z46+Z35</f>
        <v>160000</v>
      </c>
      <c r="AA53" s="188"/>
      <c r="AB53" s="188"/>
      <c r="AC53" s="189">
        <f>AC50+AC46+AC35</f>
        <v>295287</v>
      </c>
      <c r="AD53" s="188"/>
      <c r="AE53" s="188"/>
      <c r="AF53" s="189">
        <f>AF50+AF46+AF35</f>
        <v>370895.83</v>
      </c>
      <c r="AG53" s="188"/>
      <c r="AH53" s="188"/>
      <c r="AI53" s="189">
        <f>AI50+AI46+AI35</f>
        <v>1974653.46</v>
      </c>
      <c r="AJ53" s="188"/>
      <c r="AK53" s="188"/>
      <c r="AL53" s="189">
        <f>AL50+AL46+AL35</f>
        <v>881698</v>
      </c>
      <c r="AM53" s="188"/>
      <c r="AN53" s="188"/>
      <c r="AO53" s="189">
        <f>AO50+AO46+AO35</f>
        <v>595692.76</v>
      </c>
      <c r="AP53" s="188"/>
      <c r="AQ53" s="188"/>
      <c r="AR53" s="189">
        <f>AR50+AR46+AR35</f>
        <v>342331.24</v>
      </c>
      <c r="AS53" s="188"/>
      <c r="AT53" s="188"/>
      <c r="AU53" s="189">
        <f>AU50+AU46+AU35</f>
        <v>254530</v>
      </c>
      <c r="AV53" s="188"/>
      <c r="AW53" s="188"/>
      <c r="AX53" s="189">
        <f>AX50+AX46+AX35</f>
        <v>125000</v>
      </c>
      <c r="AY53" s="188"/>
      <c r="BA53" s="189">
        <f>BA50+BA46+BA35</f>
        <v>5736088.29</v>
      </c>
    </row>
    <row r="54" spans="1:53" s="45" customFormat="1" ht="15.75" hidden="1" customHeight="1">
      <c r="B54" s="162"/>
      <c r="E54" s="162"/>
      <c r="H54" s="162"/>
      <c r="J54" s="167"/>
      <c r="AC54" s="162"/>
      <c r="AF54" s="170">
        <v>1291850</v>
      </c>
      <c r="AG54" s="180"/>
      <c r="AH54" s="180"/>
      <c r="AI54" s="170">
        <v>1671500</v>
      </c>
      <c r="AJ54" s="180"/>
      <c r="AK54" s="180"/>
      <c r="AL54" s="170">
        <v>250000</v>
      </c>
      <c r="AM54" s="180"/>
      <c r="AN54" s="180"/>
      <c r="AO54" s="170">
        <v>250000</v>
      </c>
      <c r="BA54" s="133">
        <f>SUM(B54)+E54+H54+K54+N54+Q54+T54+W54+Z54+AC54+AF54+AI54+AL54+AO54+AR54+AU54+AX54</f>
        <v>3463350</v>
      </c>
    </row>
    <row r="55" spans="1:53" s="45" customFormat="1">
      <c r="B55" s="162"/>
      <c r="E55" s="162"/>
      <c r="H55" s="162"/>
      <c r="J55" s="167"/>
      <c r="AC55" s="162"/>
    </row>
    <row r="56" spans="1:53" s="191" customFormat="1">
      <c r="A56" s="188" t="s">
        <v>239</v>
      </c>
      <c r="B56" s="189">
        <f>B19-B53</f>
        <v>1136363</v>
      </c>
      <c r="C56" s="188"/>
      <c r="D56" s="188"/>
      <c r="E56" s="189">
        <f>E19-E53</f>
        <v>952253</v>
      </c>
      <c r="F56" s="188"/>
      <c r="G56" s="188"/>
      <c r="H56" s="189">
        <f>H19-H53</f>
        <v>2419090</v>
      </c>
      <c r="I56" s="188"/>
      <c r="J56" s="190"/>
      <c r="K56" s="189">
        <f>K19-K53</f>
        <v>3223225</v>
      </c>
      <c r="L56" s="188"/>
      <c r="M56" s="188"/>
      <c r="N56" s="189">
        <f>N19-N53</f>
        <v>3654865</v>
      </c>
      <c r="O56" s="188"/>
      <c r="P56" s="188"/>
      <c r="Q56" s="189">
        <f>Q19-Q53</f>
        <v>2971230</v>
      </c>
      <c r="R56" s="188"/>
      <c r="S56" s="188"/>
      <c r="T56" s="189">
        <f>T19-T53</f>
        <v>2399908</v>
      </c>
      <c r="U56" s="188"/>
      <c r="V56" s="188"/>
      <c r="W56" s="189">
        <f>W19-W53</f>
        <v>2659595</v>
      </c>
      <c r="X56" s="188"/>
      <c r="Y56" s="188"/>
      <c r="Z56" s="189">
        <f>Z19-Z53</f>
        <v>2660351</v>
      </c>
      <c r="AA56" s="188"/>
      <c r="AB56" s="188"/>
      <c r="AC56" s="189">
        <f>AC19-AC53</f>
        <v>2460285</v>
      </c>
      <c r="AD56" s="188"/>
      <c r="AE56" s="188"/>
      <c r="AF56" s="189">
        <f>AF19-AF53</f>
        <v>3626634.17</v>
      </c>
      <c r="AG56" s="188"/>
      <c r="AH56" s="188"/>
      <c r="AI56" s="189">
        <f>AI19-AI53</f>
        <v>1215626.54</v>
      </c>
      <c r="AJ56" s="188"/>
      <c r="AK56" s="188"/>
      <c r="AL56" s="189">
        <f>AL19-AL53</f>
        <v>1167124</v>
      </c>
      <c r="AM56" s="188"/>
      <c r="AN56" s="188"/>
      <c r="AO56" s="189">
        <f>AO19-AO53</f>
        <v>1306075.24</v>
      </c>
      <c r="AP56" s="188"/>
      <c r="AQ56" s="188"/>
      <c r="AR56" s="189">
        <f>AR19-AR53</f>
        <v>1346470.76</v>
      </c>
      <c r="AS56" s="188"/>
      <c r="AT56" s="188"/>
      <c r="AU56" s="189">
        <v>0</v>
      </c>
      <c r="AV56" s="188"/>
      <c r="AW56" s="188"/>
      <c r="AX56" s="189">
        <v>0</v>
      </c>
      <c r="AY56" s="188"/>
      <c r="BA56" s="146">
        <f>SUM(B56)+E56+H56+K56+N56+Q56+T56+W56+Z56+AC56+AF56+AI56+AL56+AO56+AR56+AU56+AX56</f>
        <v>33199095.710000001</v>
      </c>
    </row>
    <row r="57" spans="1:53">
      <c r="AF57" s="192"/>
    </row>
  </sheetData>
  <mergeCells count="34">
    <mergeCell ref="AX22:AY22"/>
    <mergeCell ref="Q22:R22"/>
    <mergeCell ref="T22:U22"/>
    <mergeCell ref="W22:X22"/>
    <mergeCell ref="Z22:AA22"/>
    <mergeCell ref="AC22:AD22"/>
    <mergeCell ref="AF22:AG22"/>
    <mergeCell ref="AI22:AJ22"/>
    <mergeCell ref="AL22:AM22"/>
    <mergeCell ref="AO22:AP22"/>
    <mergeCell ref="AR22:AS22"/>
    <mergeCell ref="AU22:AV22"/>
    <mergeCell ref="AL6:AM6"/>
    <mergeCell ref="AO6:AP6"/>
    <mergeCell ref="AR6:AS6"/>
    <mergeCell ref="AU6:AV6"/>
    <mergeCell ref="AX6:AY6"/>
    <mergeCell ref="B22:C22"/>
    <mergeCell ref="E22:F22"/>
    <mergeCell ref="H22:I22"/>
    <mergeCell ref="K22:L22"/>
    <mergeCell ref="N22:O22"/>
    <mergeCell ref="AI6:AJ6"/>
    <mergeCell ref="B6:C6"/>
    <mergeCell ref="E6:F6"/>
    <mergeCell ref="H6:I6"/>
    <mergeCell ref="K6:L6"/>
    <mergeCell ref="N6:O6"/>
    <mergeCell ref="Q6:R6"/>
    <mergeCell ref="T6:U6"/>
    <mergeCell ref="W6:X6"/>
    <mergeCell ref="Z6:AA6"/>
    <mergeCell ref="AC6:AD6"/>
    <mergeCell ref="AF6:AG6"/>
  </mergeCells>
  <pageMargins left="0.7" right="0.7" top="0.75" bottom="0.75" header="0.3" footer="0.3"/>
  <pageSetup scale="55" orientation="landscape" r:id="rId1"/>
  <headerFooter>
    <oddHeader>&amp;C&amp;"-,Bold"&amp;14&amp;KFF0000College In Colorado Annual Budgets</oddHeader>
    <oddFooter>&amp;RPage &amp;P</oddFooter>
  </headerFooter>
  <colBreaks count="3" manualBreakCount="3">
    <brk id="16" max="1048575" man="1"/>
    <brk id="31" max="1048575" man="1"/>
    <brk id="45" max="1048575" man="1"/>
  </col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1:O38"/>
  <sheetViews>
    <sheetView topLeftCell="A16" zoomScale="90" zoomScaleNormal="90" workbookViewId="0">
      <selection activeCell="K35" sqref="K35"/>
    </sheetView>
  </sheetViews>
  <sheetFormatPr defaultColWidth="9" defaultRowHeight="12.75"/>
  <cols>
    <col min="1" max="1" width="9" style="38"/>
    <col min="2" max="2" width="13.125" style="38" customWidth="1"/>
    <col min="3" max="4" width="11.125" style="38" customWidth="1"/>
    <col min="5" max="5" width="9" style="38"/>
    <col min="6" max="9" width="11.125" style="38" customWidth="1"/>
    <col min="10" max="10" width="4.375" style="38" customWidth="1"/>
    <col min="11" max="12" width="11.125" style="38" customWidth="1"/>
    <col min="13" max="16384" width="9" style="38"/>
  </cols>
  <sheetData>
    <row r="31" spans="7:15" ht="15.75">
      <c r="O31" s="42"/>
    </row>
    <row r="32" spans="7:15" ht="15.75">
      <c r="G32" s="1681" t="s">
        <v>85</v>
      </c>
      <c r="H32" s="1681"/>
      <c r="I32" s="1681"/>
      <c r="J32" s="42"/>
      <c r="K32" s="1681" t="s">
        <v>86</v>
      </c>
      <c r="L32" s="1681"/>
      <c r="M32" s="42"/>
      <c r="O32" s="44"/>
    </row>
    <row r="33" spans="2:15" ht="63.75" thickBot="1">
      <c r="B33" s="40" t="s">
        <v>92</v>
      </c>
      <c r="C33" s="48">
        <v>43976</v>
      </c>
      <c r="D33" s="40" t="s">
        <v>93</v>
      </c>
      <c r="G33" s="43" t="s">
        <v>63</v>
      </c>
      <c r="H33" s="43" t="s">
        <v>87</v>
      </c>
      <c r="I33" s="43" t="s">
        <v>1</v>
      </c>
      <c r="J33" s="43"/>
      <c r="K33" s="43" t="s">
        <v>88</v>
      </c>
      <c r="L33" s="43" t="s">
        <v>89</v>
      </c>
      <c r="M33" s="44"/>
      <c r="O33" s="44"/>
    </row>
    <row r="34" spans="2:15" ht="16.5" thickTop="1">
      <c r="B34" s="40" t="s">
        <v>94</v>
      </c>
      <c r="C34" s="48">
        <v>240110</v>
      </c>
      <c r="D34" s="40"/>
      <c r="G34" s="45"/>
      <c r="H34" s="45"/>
      <c r="I34" s="45"/>
      <c r="J34" s="45"/>
      <c r="K34" s="45"/>
      <c r="L34" s="45"/>
      <c r="M34" s="44"/>
      <c r="O34" s="44"/>
    </row>
    <row r="35" spans="2:15" ht="15.75">
      <c r="B35" s="40" t="s">
        <v>95</v>
      </c>
      <c r="C35" s="48">
        <v>224804</v>
      </c>
      <c r="D35" s="40"/>
      <c r="G35" s="46">
        <v>1112181</v>
      </c>
      <c r="H35" s="46">
        <v>898500</v>
      </c>
      <c r="I35" s="46">
        <v>12020416</v>
      </c>
      <c r="J35" s="46"/>
      <c r="K35" s="46">
        <v>103722</v>
      </c>
      <c r="L35" s="46">
        <v>205970</v>
      </c>
      <c r="M35" s="44"/>
      <c r="O35" s="47"/>
    </row>
    <row r="36" spans="2:15" ht="15.75">
      <c r="B36" s="40" t="s">
        <v>96</v>
      </c>
      <c r="C36" s="48">
        <v>350062</v>
      </c>
      <c r="D36" s="40"/>
      <c r="G36" s="47"/>
      <c r="H36" s="47"/>
      <c r="I36" s="47"/>
      <c r="J36" s="47"/>
      <c r="K36" s="47"/>
      <c r="L36" s="47"/>
      <c r="M36" s="47"/>
      <c r="O36" s="41"/>
    </row>
    <row r="37" spans="2:15" ht="15.75">
      <c r="B37" s="40" t="s">
        <v>97</v>
      </c>
      <c r="C37" s="48">
        <v>1112181</v>
      </c>
      <c r="G37" s="41" t="s">
        <v>90</v>
      </c>
      <c r="H37" s="41"/>
      <c r="I37" s="41"/>
      <c r="J37" s="41"/>
      <c r="K37" s="41" t="s">
        <v>91</v>
      </c>
      <c r="L37" s="41"/>
      <c r="M37" s="41"/>
    </row>
    <row r="38" spans="2:15">
      <c r="K38" s="38" t="s">
        <v>98</v>
      </c>
    </row>
  </sheetData>
  <mergeCells count="2">
    <mergeCell ref="K32:L32"/>
    <mergeCell ref="G32:I32"/>
  </mergeCells>
  <pageMargins left="0.25" right="0.25" top="0.75" bottom="0.75" header="0.3" footer="0.3"/>
  <pageSetup scale="8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zoomScale="85" zoomScaleNormal="85" workbookViewId="0">
      <pane ySplit="1" topLeftCell="A2" activePane="bottomLeft" state="frozen"/>
      <selection pane="bottomLeft" activeCell="B14" sqref="B14"/>
    </sheetView>
  </sheetViews>
  <sheetFormatPr defaultColWidth="8.75" defaultRowHeight="15"/>
  <cols>
    <col min="1" max="1" width="11.75" style="1384" customWidth="1"/>
    <col min="2" max="2" width="53.125" style="1389" customWidth="1"/>
    <col min="3" max="3" width="35.5" style="1386" customWidth="1"/>
    <col min="4" max="4" width="23.125" style="1386" customWidth="1"/>
    <col min="5" max="5" width="42.5" style="1386" customWidth="1"/>
    <col min="6" max="6" width="39" style="1392" customWidth="1"/>
    <col min="7" max="7" width="18.375" style="1396" customWidth="1"/>
    <col min="8" max="8" width="25.75" style="1386" customWidth="1"/>
    <col min="9" max="9" width="53.125" style="1389" customWidth="1"/>
    <col min="10" max="16384" width="8.75" style="1389"/>
  </cols>
  <sheetData>
    <row r="1" spans="1:9" s="1383" customFormat="1">
      <c r="A1" s="1379" t="s">
        <v>1705</v>
      </c>
      <c r="B1" s="1380" t="s">
        <v>1706</v>
      </c>
      <c r="C1" s="1381" t="s">
        <v>1707</v>
      </c>
      <c r="D1" s="1381" t="s">
        <v>1708</v>
      </c>
      <c r="E1" s="1381" t="s">
        <v>1135</v>
      </c>
      <c r="F1" s="1382" t="s">
        <v>708</v>
      </c>
      <c r="G1" s="1381" t="s">
        <v>1709</v>
      </c>
      <c r="H1" s="1381" t="s">
        <v>703</v>
      </c>
      <c r="I1" s="1380"/>
    </row>
    <row r="3" spans="1:9">
      <c r="A3" s="1384" t="s">
        <v>1710</v>
      </c>
      <c r="B3" s="1385" t="s">
        <v>1711</v>
      </c>
      <c r="C3" s="1386" t="s">
        <v>1712</v>
      </c>
      <c r="D3" s="1386" t="s">
        <v>1713</v>
      </c>
      <c r="E3" s="1386" t="s">
        <v>1714</v>
      </c>
      <c r="F3" s="1387" t="s">
        <v>1715</v>
      </c>
      <c r="G3" s="1388" t="s">
        <v>1716</v>
      </c>
      <c r="H3" s="1386" t="s">
        <v>1717</v>
      </c>
    </row>
    <row r="4" spans="1:9">
      <c r="A4" s="1384" t="s">
        <v>1710</v>
      </c>
      <c r="B4" s="1385" t="s">
        <v>1718</v>
      </c>
      <c r="C4" s="1386" t="s">
        <v>1719</v>
      </c>
      <c r="D4" s="1390" t="s">
        <v>1720</v>
      </c>
      <c r="E4" s="1386" t="s">
        <v>1721</v>
      </c>
      <c r="F4" s="1391" t="s">
        <v>1722</v>
      </c>
      <c r="G4" s="1389" t="s">
        <v>1723</v>
      </c>
    </row>
    <row r="5" spans="1:9" s="1392" customFormat="1">
      <c r="A5" s="1384" t="s">
        <v>1710</v>
      </c>
      <c r="B5" s="1385" t="s">
        <v>1724</v>
      </c>
      <c r="C5" s="1386" t="s">
        <v>1725</v>
      </c>
      <c r="D5" s="1386" t="s">
        <v>1726</v>
      </c>
      <c r="E5" s="1386" t="s">
        <v>1727</v>
      </c>
      <c r="F5" s="1391" t="s">
        <v>1728</v>
      </c>
      <c r="G5" s="1389" t="s">
        <v>1729</v>
      </c>
      <c r="H5" s="1386"/>
      <c r="I5" s="1385"/>
    </row>
    <row r="6" spans="1:9">
      <c r="A6" s="1384" t="s">
        <v>1710</v>
      </c>
      <c r="B6" s="1393" t="s">
        <v>1730</v>
      </c>
      <c r="C6" s="1394" t="s">
        <v>1731</v>
      </c>
      <c r="D6" s="1394" t="s">
        <v>1732</v>
      </c>
      <c r="E6" s="1394" t="s">
        <v>1733</v>
      </c>
      <c r="F6" s="1387" t="s">
        <v>1734</v>
      </c>
      <c r="G6" s="1394" t="s">
        <v>1735</v>
      </c>
    </row>
    <row r="7" spans="1:9">
      <c r="A7" s="1384" t="s">
        <v>1710</v>
      </c>
      <c r="B7" s="1391" t="s">
        <v>1736</v>
      </c>
      <c r="C7" s="1390" t="s">
        <v>1737</v>
      </c>
      <c r="D7" s="1390" t="s">
        <v>1738</v>
      </c>
      <c r="E7" s="1390" t="s">
        <v>1739</v>
      </c>
      <c r="F7" s="1392" t="s">
        <v>1740</v>
      </c>
      <c r="G7" s="1395" t="s">
        <v>1741</v>
      </c>
      <c r="H7" s="1390"/>
      <c r="I7" s="1392" t="s">
        <v>1742</v>
      </c>
    </row>
    <row r="8" spans="1:9">
      <c r="A8" s="1384" t="s">
        <v>1710</v>
      </c>
      <c r="B8" s="1385" t="s">
        <v>1743</v>
      </c>
      <c r="C8" s="1386" t="s">
        <v>1744</v>
      </c>
      <c r="D8" s="1390" t="s">
        <v>1745</v>
      </c>
      <c r="E8" s="1386" t="s">
        <v>1746</v>
      </c>
      <c r="F8" s="1387" t="s">
        <v>1747</v>
      </c>
      <c r="G8" s="1388" t="s">
        <v>1748</v>
      </c>
      <c r="H8" s="1386" t="s">
        <v>204</v>
      </c>
      <c r="I8" s="1389" t="s">
        <v>1749</v>
      </c>
    </row>
    <row r="9" spans="1:9">
      <c r="A9" s="1384" t="s">
        <v>1710</v>
      </c>
      <c r="B9" s="1385" t="s">
        <v>1750</v>
      </c>
      <c r="C9" s="1386" t="s">
        <v>1751</v>
      </c>
      <c r="D9" s="1390" t="s">
        <v>1752</v>
      </c>
      <c r="E9" s="1386" t="s">
        <v>1753</v>
      </c>
      <c r="F9" s="1392" t="s">
        <v>1754</v>
      </c>
      <c r="G9" s="1396" t="s">
        <v>1755</v>
      </c>
      <c r="I9" s="1389" t="s">
        <v>1756</v>
      </c>
    </row>
    <row r="10" spans="1:9">
      <c r="A10" s="1384" t="s">
        <v>1710</v>
      </c>
      <c r="B10" s="1391" t="s">
        <v>1757</v>
      </c>
      <c r="C10" s="1390" t="s">
        <v>1758</v>
      </c>
      <c r="D10" s="1390" t="s">
        <v>1759</v>
      </c>
      <c r="E10" s="1390" t="s">
        <v>1760</v>
      </c>
      <c r="F10" s="1392" t="s">
        <v>1761</v>
      </c>
      <c r="G10" s="1395" t="s">
        <v>1762</v>
      </c>
      <c r="H10" s="1390" t="s">
        <v>204</v>
      </c>
      <c r="I10" s="1392"/>
    </row>
    <row r="11" spans="1:9">
      <c r="A11" s="1384" t="s">
        <v>1710</v>
      </c>
      <c r="B11" s="1385" t="s">
        <v>1763</v>
      </c>
      <c r="C11" s="1386" t="s">
        <v>1764</v>
      </c>
      <c r="D11" s="1389" t="s">
        <v>1765</v>
      </c>
      <c r="E11" s="1389" t="s">
        <v>1766</v>
      </c>
      <c r="F11" s="1392" t="s">
        <v>1767</v>
      </c>
      <c r="G11" s="1410" t="s">
        <v>1972</v>
      </c>
    </row>
    <row r="12" spans="1:9">
      <c r="A12" s="1705" t="s">
        <v>1710</v>
      </c>
      <c r="B12" s="1385" t="s">
        <v>1982</v>
      </c>
      <c r="C12" s="1386" t="s">
        <v>1977</v>
      </c>
      <c r="D12" s="1706" t="s">
        <v>1978</v>
      </c>
      <c r="E12" s="1706" t="s">
        <v>1979</v>
      </c>
      <c r="F12" s="1385" t="s">
        <v>1980</v>
      </c>
      <c r="G12" s="482" t="s">
        <v>1981</v>
      </c>
      <c r="H12" s="1386" t="s">
        <v>1717</v>
      </c>
    </row>
    <row r="13" spans="1:9" s="1392" customFormat="1">
      <c r="A13" s="1384" t="s">
        <v>1710</v>
      </c>
      <c r="B13" s="1385" t="s">
        <v>1768</v>
      </c>
      <c r="C13" s="1386" t="s">
        <v>1769</v>
      </c>
      <c r="D13" s="1386" t="s">
        <v>1770</v>
      </c>
      <c r="E13" s="1386" t="s">
        <v>1771</v>
      </c>
      <c r="F13" s="1391" t="s">
        <v>1772</v>
      </c>
      <c r="G13" s="1411" t="s">
        <v>1973</v>
      </c>
      <c r="H13" s="1386"/>
      <c r="I13" s="1393" t="s">
        <v>1773</v>
      </c>
    </row>
    <row r="14" spans="1:9">
      <c r="A14" s="1384" t="s">
        <v>1710</v>
      </c>
      <c r="B14" s="1385" t="s">
        <v>1774</v>
      </c>
      <c r="C14" s="1386" t="s">
        <v>1775</v>
      </c>
      <c r="D14" s="1390" t="s">
        <v>1776</v>
      </c>
      <c r="E14" s="1386" t="s">
        <v>1777</v>
      </c>
      <c r="F14" s="1391" t="s">
        <v>1778</v>
      </c>
      <c r="G14" s="1396" t="s">
        <v>1779</v>
      </c>
      <c r="H14" s="1386" t="s">
        <v>204</v>
      </c>
      <c r="I14" s="1389" t="s">
        <v>1749</v>
      </c>
    </row>
    <row r="15" spans="1:9" s="1392" customFormat="1">
      <c r="A15" s="1384" t="s">
        <v>1710</v>
      </c>
      <c r="B15" s="1385" t="s">
        <v>1780</v>
      </c>
      <c r="C15" s="1386" t="s">
        <v>1781</v>
      </c>
      <c r="D15" s="1390" t="s">
        <v>1782</v>
      </c>
      <c r="E15" s="1386" t="s">
        <v>1783</v>
      </c>
      <c r="F15" s="1392" t="s">
        <v>1784</v>
      </c>
      <c r="G15" s="1396" t="s">
        <v>1785</v>
      </c>
      <c r="H15" s="1386" t="s">
        <v>204</v>
      </c>
      <c r="I15" s="1385" t="s">
        <v>1786</v>
      </c>
    </row>
    <row r="16" spans="1:9">
      <c r="A16" s="1384" t="s">
        <v>1710</v>
      </c>
      <c r="B16" s="1385" t="s">
        <v>1787</v>
      </c>
      <c r="C16" s="1389" t="s">
        <v>1788</v>
      </c>
      <c r="D16" s="1388" t="s">
        <v>1789</v>
      </c>
      <c r="E16" s="1388" t="s">
        <v>1790</v>
      </c>
      <c r="F16" s="1392" t="s">
        <v>1791</v>
      </c>
      <c r="G16" s="1389" t="s">
        <v>1792</v>
      </c>
      <c r="I16" s="1389" t="s">
        <v>1791</v>
      </c>
    </row>
    <row r="17" spans="1:9">
      <c r="A17" s="1384" t="s">
        <v>1710</v>
      </c>
      <c r="B17" s="1391" t="s">
        <v>1793</v>
      </c>
      <c r="C17" s="1390" t="s">
        <v>1794</v>
      </c>
      <c r="D17" s="1397" t="s">
        <v>1795</v>
      </c>
      <c r="E17" s="1398" t="s">
        <v>1796</v>
      </c>
      <c r="F17" s="1392" t="s">
        <v>1797</v>
      </c>
      <c r="G17" s="1399" t="s">
        <v>1798</v>
      </c>
      <c r="H17" s="1390"/>
      <c r="I17" s="1392" t="s">
        <v>1793</v>
      </c>
    </row>
    <row r="18" spans="1:9">
      <c r="A18" s="1384" t="s">
        <v>1710</v>
      </c>
      <c r="B18" s="1385" t="s">
        <v>1799</v>
      </c>
      <c r="C18" s="1386" t="s">
        <v>1800</v>
      </c>
      <c r="D18" s="1389" t="s">
        <v>1801</v>
      </c>
      <c r="E18" s="1386" t="s">
        <v>1802</v>
      </c>
      <c r="F18" s="1391" t="s">
        <v>1803</v>
      </c>
      <c r="G18" s="1389" t="s">
        <v>1804</v>
      </c>
      <c r="I18" s="1389" t="s">
        <v>1805</v>
      </c>
    </row>
    <row r="21" spans="1:9">
      <c r="A21" s="1704" t="s">
        <v>1825</v>
      </c>
      <c r="B21" s="1385" t="s">
        <v>1818</v>
      </c>
      <c r="C21" s="1386" t="s">
        <v>1819</v>
      </c>
      <c r="D21" s="1390" t="s">
        <v>1820</v>
      </c>
      <c r="E21" s="1390" t="s">
        <v>1821</v>
      </c>
      <c r="F21" s="1392" t="s">
        <v>1822</v>
      </c>
      <c r="G21" s="1403" t="s">
        <v>1823</v>
      </c>
      <c r="H21" s="1390" t="s">
        <v>1824</v>
      </c>
      <c r="I21" s="1392"/>
    </row>
    <row r="22" spans="1:9">
      <c r="A22" s="1412" t="s">
        <v>1825</v>
      </c>
      <c r="B22" s="1393" t="s">
        <v>1812</v>
      </c>
      <c r="C22" s="1386" t="s">
        <v>1813</v>
      </c>
      <c r="D22" s="1386" t="s">
        <v>1814</v>
      </c>
      <c r="E22" s="1386" t="s">
        <v>1815</v>
      </c>
      <c r="F22" s="1387" t="s">
        <v>1816</v>
      </c>
      <c r="G22" s="1401" t="s">
        <v>1817</v>
      </c>
    </row>
    <row r="23" spans="1:9">
      <c r="A23" s="1402" t="s">
        <v>1825</v>
      </c>
      <c r="B23" s="1385" t="s">
        <v>1826</v>
      </c>
      <c r="C23" s="1386" t="s">
        <v>1827</v>
      </c>
      <c r="D23" s="1386" t="s">
        <v>1828</v>
      </c>
      <c r="E23" s="1386" t="s">
        <v>1829</v>
      </c>
      <c r="F23" s="1391" t="s">
        <v>1830</v>
      </c>
      <c r="G23" s="1386" t="s">
        <v>1831</v>
      </c>
      <c r="H23" s="1386" t="s">
        <v>204</v>
      </c>
      <c r="I23" s="1386"/>
    </row>
    <row r="24" spans="1:9">
      <c r="A24" s="1402" t="s">
        <v>1825</v>
      </c>
      <c r="B24" s="1385" t="s">
        <v>1832</v>
      </c>
      <c r="C24" s="1386" t="s">
        <v>1833</v>
      </c>
      <c r="D24" s="1386" t="s">
        <v>1834</v>
      </c>
      <c r="E24" s="1386" t="s">
        <v>1835</v>
      </c>
      <c r="F24" s="1391" t="s">
        <v>1836</v>
      </c>
      <c r="G24" s="1404" t="s">
        <v>1837</v>
      </c>
      <c r="H24" s="1386" t="s">
        <v>204</v>
      </c>
      <c r="I24" s="1385" t="s">
        <v>1838</v>
      </c>
    </row>
    <row r="25" spans="1:9" ht="30">
      <c r="A25" s="1415" t="s">
        <v>1825</v>
      </c>
      <c r="B25" s="1399" t="s">
        <v>1806</v>
      </c>
      <c r="C25" s="1400" t="s">
        <v>1807</v>
      </c>
      <c r="D25" s="1399" t="s">
        <v>1808</v>
      </c>
      <c r="E25" s="1386" t="s">
        <v>1809</v>
      </c>
      <c r="F25" s="1391" t="s">
        <v>1810</v>
      </c>
      <c r="G25" s="1385" t="s">
        <v>1811</v>
      </c>
      <c r="I25" s="1386"/>
    </row>
    <row r="26" spans="1:9">
      <c r="A26" s="1402" t="s">
        <v>1825</v>
      </c>
      <c r="B26" s="1385" t="s">
        <v>1839</v>
      </c>
      <c r="C26" s="1386" t="s">
        <v>1840</v>
      </c>
      <c r="D26" s="1390" t="s">
        <v>1841</v>
      </c>
      <c r="E26" s="1386" t="s">
        <v>1842</v>
      </c>
      <c r="F26" s="1392" t="s">
        <v>1843</v>
      </c>
      <c r="G26" s="1396" t="s">
        <v>1844</v>
      </c>
      <c r="H26" s="1386" t="s">
        <v>204</v>
      </c>
      <c r="I26" s="1389" t="s">
        <v>1845</v>
      </c>
    </row>
    <row r="27" spans="1:9">
      <c r="A27" s="1402" t="s">
        <v>1825</v>
      </c>
      <c r="B27" s="1385" t="s">
        <v>1846</v>
      </c>
      <c r="C27" s="1386" t="s">
        <v>1847</v>
      </c>
      <c r="D27" s="1386" t="s">
        <v>1848</v>
      </c>
      <c r="E27" s="1386" t="s">
        <v>1849</v>
      </c>
      <c r="F27" s="1391" t="s">
        <v>1850</v>
      </c>
      <c r="G27" s="1386" t="s">
        <v>1851</v>
      </c>
      <c r="H27" s="1386" t="s">
        <v>204</v>
      </c>
      <c r="I27" s="1386"/>
    </row>
    <row r="28" spans="1:9">
      <c r="A28" s="1402" t="s">
        <v>1825</v>
      </c>
      <c r="B28" s="1385" t="s">
        <v>1852</v>
      </c>
      <c r="C28" s="1386" t="s">
        <v>1853</v>
      </c>
      <c r="D28" s="1386" t="s">
        <v>1854</v>
      </c>
      <c r="E28" s="1386" t="s">
        <v>1749</v>
      </c>
      <c r="F28" s="1391" t="s">
        <v>1855</v>
      </c>
      <c r="I28" s="1385" t="s">
        <v>1749</v>
      </c>
    </row>
    <row r="29" spans="1:9">
      <c r="A29" s="1402" t="s">
        <v>1825</v>
      </c>
      <c r="B29" s="1385" t="s">
        <v>1856</v>
      </c>
      <c r="C29" s="1386" t="s">
        <v>1857</v>
      </c>
      <c r="D29" s="1390" t="s">
        <v>1858</v>
      </c>
      <c r="E29" s="1390" t="s">
        <v>1859</v>
      </c>
      <c r="F29" s="1392" t="s">
        <v>1860</v>
      </c>
      <c r="G29" s="1395" t="s">
        <v>1861</v>
      </c>
      <c r="H29" s="1390" t="s">
        <v>1862</v>
      </c>
      <c r="I29" s="1391" t="s">
        <v>1863</v>
      </c>
    </row>
    <row r="30" spans="1:9">
      <c r="B30" s="1385" t="s">
        <v>1864</v>
      </c>
      <c r="C30" s="1386" t="s">
        <v>1865</v>
      </c>
      <c r="D30" s="1386" t="s">
        <v>1866</v>
      </c>
      <c r="F30" s="1391" t="s">
        <v>1867</v>
      </c>
      <c r="G30" s="1396" t="s">
        <v>1868</v>
      </c>
      <c r="H30" s="1386" t="s">
        <v>1869</v>
      </c>
    </row>
    <row r="31" spans="1:9">
      <c r="B31" s="1385" t="s">
        <v>1870</v>
      </c>
      <c r="C31" s="1386" t="s">
        <v>1871</v>
      </c>
      <c r="D31" s="1390"/>
      <c r="F31" s="1391" t="s">
        <v>1872</v>
      </c>
      <c r="G31" s="1386" t="s">
        <v>1873</v>
      </c>
      <c r="H31" s="1386" t="s">
        <v>1874</v>
      </c>
      <c r="I31" s="1389" t="s">
        <v>1875</v>
      </c>
    </row>
    <row r="32" spans="1:9">
      <c r="B32" s="1385" t="s">
        <v>1876</v>
      </c>
      <c r="C32" s="1386" t="s">
        <v>1877</v>
      </c>
      <c r="D32" s="1386" t="s">
        <v>1878</v>
      </c>
      <c r="E32" s="1386" t="s">
        <v>1879</v>
      </c>
      <c r="F32" s="1391" t="s">
        <v>1880</v>
      </c>
      <c r="G32" s="1396" t="s">
        <v>1881</v>
      </c>
      <c r="I32" s="1385" t="s">
        <v>1876</v>
      </c>
    </row>
    <row r="33" spans="1:9" s="1392" customFormat="1">
      <c r="A33" s="1384"/>
      <c r="B33" s="1385" t="s">
        <v>1882</v>
      </c>
      <c r="C33" s="1386" t="s">
        <v>1883</v>
      </c>
      <c r="D33" s="1390" t="s">
        <v>1884</v>
      </c>
      <c r="E33" s="1405" t="s">
        <v>1885</v>
      </c>
      <c r="G33" s="1395"/>
      <c r="H33" s="1390" t="s">
        <v>1874</v>
      </c>
      <c r="I33" s="1391" t="s">
        <v>1886</v>
      </c>
    </row>
    <row r="34" spans="1:9" s="1392" customFormat="1">
      <c r="A34" s="1384"/>
      <c r="B34" s="1391" t="s">
        <v>1887</v>
      </c>
      <c r="C34" s="1390" t="s">
        <v>1888</v>
      </c>
      <c r="D34" s="1390" t="s">
        <v>1889</v>
      </c>
      <c r="E34" s="1390" t="s">
        <v>1890</v>
      </c>
      <c r="F34" s="1391" t="s">
        <v>1891</v>
      </c>
      <c r="G34" s="1395" t="s">
        <v>1892</v>
      </c>
      <c r="H34" s="1390"/>
      <c r="I34" s="1392" t="s">
        <v>1749</v>
      </c>
    </row>
    <row r="35" spans="1:9">
      <c r="B35" s="1385" t="s">
        <v>1893</v>
      </c>
      <c r="C35" s="1386" t="s">
        <v>1894</v>
      </c>
      <c r="D35" s="1406" t="s">
        <v>1895</v>
      </c>
      <c r="E35" s="1386" t="s">
        <v>1896</v>
      </c>
      <c r="F35" s="1391" t="s">
        <v>1897</v>
      </c>
      <c r="G35" s="1396" t="s">
        <v>1898</v>
      </c>
      <c r="I35" s="1385" t="s">
        <v>1899</v>
      </c>
    </row>
    <row r="36" spans="1:9">
      <c r="A36" s="1402"/>
      <c r="B36" s="1385" t="s">
        <v>1900</v>
      </c>
      <c r="C36" s="1386" t="s">
        <v>1901</v>
      </c>
      <c r="D36" s="1390"/>
      <c r="H36" s="1386" t="s">
        <v>1902</v>
      </c>
      <c r="I36" s="1389" t="s">
        <v>1903</v>
      </c>
    </row>
    <row r="37" spans="1:9">
      <c r="B37" s="1389" t="s">
        <v>1904</v>
      </c>
      <c r="C37" s="1386" t="s">
        <v>1905</v>
      </c>
      <c r="G37" s="1386" t="s">
        <v>1906</v>
      </c>
      <c r="I37" s="1386"/>
    </row>
    <row r="38" spans="1:9">
      <c r="B38" s="1385" t="s">
        <v>1907</v>
      </c>
      <c r="C38" s="1386" t="s">
        <v>1908</v>
      </c>
      <c r="D38" s="1386" t="s">
        <v>1749</v>
      </c>
      <c r="E38" s="1386" t="s">
        <v>1749</v>
      </c>
      <c r="F38" s="1391" t="s">
        <v>1909</v>
      </c>
      <c r="G38" s="1396" t="s">
        <v>1910</v>
      </c>
      <c r="H38" s="1386" t="s">
        <v>204</v>
      </c>
      <c r="I38" s="1385" t="s">
        <v>1911</v>
      </c>
    </row>
    <row r="39" spans="1:9">
      <c r="B39" s="1385" t="s">
        <v>1912</v>
      </c>
      <c r="C39" s="1386" t="s">
        <v>1913</v>
      </c>
      <c r="D39" s="1386" t="s">
        <v>1914</v>
      </c>
      <c r="E39" s="1386" t="s">
        <v>1915</v>
      </c>
      <c r="F39" s="1391" t="s">
        <v>1916</v>
      </c>
      <c r="G39" s="1396" t="s">
        <v>1917</v>
      </c>
      <c r="I39" s="1385" t="s">
        <v>1912</v>
      </c>
    </row>
    <row r="40" spans="1:9">
      <c r="B40" s="1392" t="s">
        <v>1918</v>
      </c>
      <c r="C40" s="1390" t="s">
        <v>1919</v>
      </c>
      <c r="D40" s="1390"/>
      <c r="E40" s="1386" t="s">
        <v>1920</v>
      </c>
      <c r="F40" s="1392" t="s">
        <v>204</v>
      </c>
      <c r="G40" s="1395"/>
      <c r="H40" s="1390" t="s">
        <v>1869</v>
      </c>
      <c r="I40" s="1391" t="s">
        <v>1921</v>
      </c>
    </row>
    <row r="41" spans="1:9">
      <c r="B41" s="1385" t="s">
        <v>1922</v>
      </c>
      <c r="C41" s="1386" t="s">
        <v>1923</v>
      </c>
      <c r="D41" s="1390" t="s">
        <v>1924</v>
      </c>
      <c r="E41" s="1386" t="s">
        <v>1925</v>
      </c>
      <c r="H41" s="1386" t="s">
        <v>1874</v>
      </c>
      <c r="I41" s="1385" t="s">
        <v>1926</v>
      </c>
    </row>
    <row r="42" spans="1:9">
      <c r="B42" s="1385" t="s">
        <v>1927</v>
      </c>
      <c r="C42" s="1386" t="s">
        <v>1928</v>
      </c>
      <c r="D42" s="1390" t="s">
        <v>1929</v>
      </c>
      <c r="E42" s="1386" t="s">
        <v>1930</v>
      </c>
      <c r="F42" s="1407" t="s">
        <v>1931</v>
      </c>
      <c r="G42" s="1396" t="s">
        <v>1932</v>
      </c>
      <c r="I42" s="1389" t="s">
        <v>1933</v>
      </c>
    </row>
    <row r="43" spans="1:9">
      <c r="B43" s="1386" t="s">
        <v>1934</v>
      </c>
      <c r="C43" s="1386" t="s">
        <v>1935</v>
      </c>
      <c r="D43" s="1386" t="s">
        <v>1936</v>
      </c>
      <c r="E43" s="1386" t="s">
        <v>1937</v>
      </c>
      <c r="G43" s="1386" t="s">
        <v>1938</v>
      </c>
      <c r="H43" s="1386" t="s">
        <v>1939</v>
      </c>
      <c r="I43" s="1385" t="s">
        <v>1940</v>
      </c>
    </row>
    <row r="44" spans="1:9">
      <c r="B44" s="1385" t="s">
        <v>1941</v>
      </c>
      <c r="C44" s="1386" t="s">
        <v>1942</v>
      </c>
      <c r="D44" s="1397" t="s">
        <v>1943</v>
      </c>
      <c r="E44" s="1408" t="s">
        <v>1944</v>
      </c>
      <c r="F44" s="1392" t="s">
        <v>1945</v>
      </c>
      <c r="G44" s="1394" t="s">
        <v>1946</v>
      </c>
      <c r="H44" s="1386" t="s">
        <v>204</v>
      </c>
      <c r="I44" s="1394" t="s">
        <v>1749</v>
      </c>
    </row>
    <row r="45" spans="1:9">
      <c r="B45" s="1385" t="s">
        <v>1947</v>
      </c>
      <c r="C45" s="1386" t="s">
        <v>1948</v>
      </c>
      <c r="D45" s="1390" t="s">
        <v>1949</v>
      </c>
      <c r="E45" s="1386" t="s">
        <v>1950</v>
      </c>
      <c r="F45" s="1391" t="s">
        <v>1951</v>
      </c>
      <c r="G45" s="1409" t="s">
        <v>1952</v>
      </c>
      <c r="H45" s="1386" t="s">
        <v>1953</v>
      </c>
    </row>
    <row r="46" spans="1:9">
      <c r="A46" s="1384" t="s">
        <v>204</v>
      </c>
      <c r="B46" s="1385" t="s">
        <v>1954</v>
      </c>
      <c r="C46" s="1386" t="s">
        <v>1955</v>
      </c>
      <c r="H46" s="1386" t="s">
        <v>1956</v>
      </c>
      <c r="I46" s="1386"/>
    </row>
    <row r="47" spans="1:9">
      <c r="B47" s="1385" t="s">
        <v>1957</v>
      </c>
      <c r="C47" s="1386" t="s">
        <v>1958</v>
      </c>
      <c r="D47" s="1386" t="s">
        <v>1959</v>
      </c>
      <c r="E47" s="1386" t="s">
        <v>1960</v>
      </c>
      <c r="F47" s="1391" t="s">
        <v>1961</v>
      </c>
      <c r="G47" s="1396" t="s">
        <v>1962</v>
      </c>
      <c r="I47" s="1385" t="s">
        <v>1963</v>
      </c>
    </row>
    <row r="48" spans="1:9">
      <c r="C48" s="1386" t="s">
        <v>1964</v>
      </c>
      <c r="D48" s="1386" t="s">
        <v>1965</v>
      </c>
      <c r="G48" s="1386" t="s">
        <v>1966</v>
      </c>
      <c r="H48" s="1386" t="s">
        <v>1967</v>
      </c>
    </row>
    <row r="49" spans="2:9">
      <c r="B49" s="1385" t="s">
        <v>1968</v>
      </c>
      <c r="C49" s="1386" t="s">
        <v>1969</v>
      </c>
      <c r="D49" s="1390"/>
      <c r="H49" s="1386" t="s">
        <v>1970</v>
      </c>
      <c r="I49" s="1385" t="s">
        <v>1971</v>
      </c>
    </row>
  </sheetData>
  <hyperlinks>
    <hyperlink ref="B47" r:id="rId1"/>
    <hyperlink ref="I47" r:id="rId2"/>
    <hyperlink ref="F47" r:id="rId3"/>
    <hyperlink ref="F32" r:id="rId4"/>
    <hyperlink ref="B32" r:id="rId5"/>
    <hyperlink ref="I32" r:id="rId6"/>
    <hyperlink ref="B30" r:id="rId7"/>
    <hyperlink ref="F30" r:id="rId8"/>
    <hyperlink ref="B35" r:id="rId9"/>
    <hyperlink ref="I35" r:id="rId10"/>
    <hyperlink ref="F35" r:id="rId11"/>
    <hyperlink ref="I39" r:id="rId12"/>
    <hyperlink ref="F39" r:id="rId13"/>
    <hyperlink ref="B39" r:id="rId14"/>
    <hyperlink ref="B33" r:id="rId15"/>
    <hyperlink ref="I33" r:id="rId16"/>
    <hyperlink ref="I29" r:id="rId17"/>
    <hyperlink ref="B38" r:id="rId18"/>
    <hyperlink ref="B29" r:id="rId19"/>
    <hyperlink ref="B10" r:id="rId20"/>
    <hyperlink ref="B24" r:id="rId21"/>
    <hyperlink ref="I24" r:id="rId22"/>
    <hyperlink ref="F24" r:id="rId23" display="mailto:cyndy@guidedpath.net"/>
    <hyperlink ref="B49" r:id="rId24"/>
    <hyperlink ref="B8" r:id="rId25"/>
    <hyperlink ref="B36" r:id="rId26"/>
    <hyperlink ref="B14" r:id="rId27"/>
    <hyperlink ref="F14" r:id="rId28" display="mailto:mikes2@tuapath.com"/>
    <hyperlink ref="B34" r:id="rId29"/>
    <hyperlink ref="B17" r:id="rId30"/>
    <hyperlink ref="B45" r:id="rId31"/>
    <hyperlink ref="B44" r:id="rId32"/>
    <hyperlink ref="B42" r:id="rId33"/>
    <hyperlink ref="B15" r:id="rId34"/>
    <hyperlink ref="B26" r:id="rId35"/>
    <hyperlink ref="B18" r:id="rId36"/>
    <hyperlink ref="B41" r:id="rId37"/>
    <hyperlink ref="B9" r:id="rId38"/>
    <hyperlink ref="B7" r:id="rId39"/>
    <hyperlink ref="B31" r:id="rId40"/>
    <hyperlink ref="B11" r:id="rId41"/>
    <hyperlink ref="F38" r:id="rId42" display="mailto:accounting@cevmultimedia.com"/>
    <hyperlink ref="F34" r:id="rId43" display="mailto:japril@collegegreenlight.com"/>
    <hyperlink ref="I41" r:id="rId44"/>
    <hyperlink ref="I40" r:id="rId45"/>
    <hyperlink ref="B21" r:id="rId46"/>
    <hyperlink ref="B23" r:id="rId47"/>
    <hyperlink ref="B46" r:id="rId48"/>
    <hyperlink ref="B27" r:id="rId49"/>
    <hyperlink ref="F23" r:id="rId50" display="mailto:lipker@emaspro.com"/>
    <hyperlink ref="I43" r:id="rId51" display="mailto:info@jobzology.com"/>
    <hyperlink ref="F6" r:id="rId52" display="mailto:laura@couragion.com"/>
    <hyperlink ref="B6" r:id="rId53" display="http://www.couragion.com/"/>
    <hyperlink ref="B16" r:id="rId54"/>
    <hyperlink ref="B28" r:id="rId55" display="http://www.technolutions.com/"/>
    <hyperlink ref="F28" r:id="rId56" display="mailto:slate-proposals@technolutions.com"/>
    <hyperlink ref="F3" r:id="rId57"/>
    <hyperlink ref="F25" r:id="rId58" display="mailto:kathryn@instructure.com"/>
    <hyperlink ref="G25" r:id="rId59" display="tel:%28801%29 869-5000"/>
    <hyperlink ref="B4" r:id="rId60" display="http://www.bitsinglass.com/"/>
    <hyperlink ref="F18" r:id="rId61" display="mailto:jeffm@xello.world"/>
    <hyperlink ref="I15" r:id="rId62"/>
    <hyperlink ref="I13" r:id="rId63" display="http://www.techtonicgroup.com/"/>
    <hyperlink ref="F5" r:id="rId64" display="mailto:adam@brighthive.io"/>
    <hyperlink ref="F8" r:id="rId65" display="mailto:audrey@majorclarity.com"/>
    <hyperlink ref="B22" r:id="rId66" display="http://www.govwin.com/"/>
    <hyperlink ref="F22" r:id="rId67" display="mailto:MorganParkin@deltek.com"/>
    <hyperlink ref="F12" r:id="rId68" display="mailto:brad.smith@slalom.com"/>
  </hyperlinks>
  <pageMargins left="0.7" right="0.7" top="0.75" bottom="0.75" header="0.3" footer="0.3"/>
  <pageSetup orientation="portrait" r:id="rId6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90" zoomScaleNormal="90" workbookViewId="0">
      <selection activeCell="F34" sqref="F34"/>
    </sheetView>
  </sheetViews>
  <sheetFormatPr defaultColWidth="9" defaultRowHeight="15"/>
  <cols>
    <col min="1" max="1" width="16" style="39" customWidth="1"/>
    <col min="2" max="2" width="12" style="39" customWidth="1"/>
    <col min="3" max="5" width="9" style="39"/>
    <col min="6" max="6" width="3.25" style="39" customWidth="1"/>
    <col min="7" max="7" width="9" style="39"/>
    <col min="8" max="8" width="15" style="39" customWidth="1"/>
    <col min="9" max="9" width="9" style="39"/>
    <col min="10" max="10" width="14.5" style="39" customWidth="1"/>
    <col min="11" max="11" width="11.625" style="39" customWidth="1"/>
    <col min="12" max="16384" width="9" style="39"/>
  </cols>
  <sheetData>
    <row r="1" spans="1:11" ht="18.75">
      <c r="A1" s="1682" t="s">
        <v>131</v>
      </c>
      <c r="B1" s="1682"/>
      <c r="C1" s="1682"/>
      <c r="D1" s="1682"/>
      <c r="E1" s="1682"/>
      <c r="F1" s="1682"/>
      <c r="G1" s="1682"/>
      <c r="H1" s="1682"/>
      <c r="I1" s="1682"/>
      <c r="J1" s="1682"/>
      <c r="K1" s="1682"/>
    </row>
    <row r="2" spans="1:11" ht="18.75">
      <c r="A2" s="49"/>
      <c r="B2" s="49"/>
      <c r="C2" s="49"/>
      <c r="D2" s="49"/>
      <c r="E2" s="49"/>
      <c r="F2" s="49"/>
      <c r="G2" s="49"/>
      <c r="H2" s="49"/>
      <c r="I2" s="49"/>
      <c r="J2" s="49"/>
      <c r="K2" s="49"/>
    </row>
    <row r="3" spans="1:11" ht="18.75">
      <c r="A3" s="49"/>
      <c r="B3" s="49"/>
      <c r="C3" s="49"/>
      <c r="D3" s="49"/>
      <c r="E3" s="49"/>
      <c r="F3" s="49"/>
      <c r="G3" s="49"/>
      <c r="H3" s="49"/>
      <c r="I3" s="49"/>
      <c r="J3" s="49"/>
      <c r="K3" s="49"/>
    </row>
    <row r="4" spans="1:11" s="55" customFormat="1" ht="31.5" customHeight="1">
      <c r="A4" s="50" t="s">
        <v>99</v>
      </c>
      <c r="B4" s="51"/>
      <c r="C4" s="52" t="s">
        <v>100</v>
      </c>
      <c r="D4" s="53" t="s">
        <v>101</v>
      </c>
      <c r="E4" s="53" t="s">
        <v>102</v>
      </c>
      <c r="F4" s="78"/>
      <c r="G4" s="53" t="s">
        <v>103</v>
      </c>
      <c r="H4" s="53" t="s">
        <v>134</v>
      </c>
      <c r="I4" s="53" t="s">
        <v>104</v>
      </c>
      <c r="J4" s="54" t="s">
        <v>135</v>
      </c>
      <c r="K4" s="54" t="s">
        <v>133</v>
      </c>
    </row>
    <row r="5" spans="1:11" ht="24.75" customHeight="1">
      <c r="A5" s="56"/>
      <c r="B5" s="57" t="s">
        <v>106</v>
      </c>
      <c r="C5" s="56"/>
      <c r="D5" s="56"/>
      <c r="E5" s="56"/>
      <c r="F5" s="56"/>
      <c r="G5" s="56"/>
      <c r="H5" s="56"/>
      <c r="I5" s="56"/>
      <c r="J5" s="56"/>
      <c r="K5" s="56"/>
    </row>
    <row r="6" spans="1:11" ht="24.75">
      <c r="A6" s="59"/>
      <c r="B6" s="59" t="s">
        <v>107</v>
      </c>
      <c r="C6" s="59">
        <v>20</v>
      </c>
      <c r="D6" s="59">
        <v>5</v>
      </c>
      <c r="E6" s="59">
        <v>3</v>
      </c>
      <c r="F6" s="79"/>
      <c r="G6" s="59">
        <v>2</v>
      </c>
      <c r="H6" s="71" t="s">
        <v>108</v>
      </c>
      <c r="I6" s="59">
        <v>2</v>
      </c>
      <c r="J6" s="71" t="s">
        <v>109</v>
      </c>
      <c r="K6" s="72">
        <v>29642</v>
      </c>
    </row>
    <row r="7" spans="1:11" ht="24.75">
      <c r="A7" s="59"/>
      <c r="B7" s="59" t="s">
        <v>110</v>
      </c>
      <c r="C7" s="59">
        <v>19</v>
      </c>
      <c r="D7" s="59">
        <v>10</v>
      </c>
      <c r="E7" s="59">
        <v>1</v>
      </c>
      <c r="F7" s="79"/>
      <c r="G7" s="59">
        <v>1</v>
      </c>
      <c r="H7" s="71" t="s">
        <v>111</v>
      </c>
      <c r="I7" s="59">
        <v>0</v>
      </c>
      <c r="J7" s="59"/>
      <c r="K7" s="72">
        <v>9105</v>
      </c>
    </row>
    <row r="8" spans="1:11" ht="36.75">
      <c r="A8" s="59"/>
      <c r="B8" s="59" t="s">
        <v>112</v>
      </c>
      <c r="C8" s="59">
        <v>19</v>
      </c>
      <c r="D8" s="59">
        <v>12</v>
      </c>
      <c r="E8" s="59">
        <v>4</v>
      </c>
      <c r="F8" s="79"/>
      <c r="G8" s="59">
        <v>3</v>
      </c>
      <c r="H8" s="71" t="s">
        <v>113</v>
      </c>
      <c r="I8" s="59">
        <v>3</v>
      </c>
      <c r="J8" s="73" t="s">
        <v>114</v>
      </c>
      <c r="K8" s="72">
        <v>93236</v>
      </c>
    </row>
    <row r="9" spans="1:11">
      <c r="A9" s="59"/>
      <c r="B9" s="59"/>
      <c r="C9" s="59"/>
      <c r="D9" s="59"/>
      <c r="E9" s="59"/>
      <c r="F9" s="79"/>
      <c r="G9" s="59"/>
      <c r="H9" s="59"/>
      <c r="I9" s="59"/>
      <c r="J9" s="59"/>
      <c r="K9" s="72"/>
    </row>
    <row r="10" spans="1:11" ht="53.25" customHeight="1">
      <c r="A10" s="1683" t="s">
        <v>136</v>
      </c>
      <c r="B10" s="1683"/>
      <c r="C10" s="59">
        <f>SUM(C6:C9)</f>
        <v>58</v>
      </c>
      <c r="D10" s="59">
        <f>SUM(D6:D9)</f>
        <v>27</v>
      </c>
      <c r="E10" s="59">
        <f>SUM(E6:E9)</f>
        <v>8</v>
      </c>
      <c r="F10" s="79"/>
      <c r="G10" s="59">
        <f>SUM(G6:G9)</f>
        <v>6</v>
      </c>
      <c r="H10" s="59"/>
      <c r="I10" s="59">
        <f>SUM(I6:I9)</f>
        <v>5</v>
      </c>
      <c r="J10" s="59"/>
      <c r="K10" s="59"/>
    </row>
    <row r="11" spans="1:11">
      <c r="A11" s="58"/>
      <c r="B11" s="58"/>
      <c r="C11" s="58"/>
      <c r="D11" s="60" t="s">
        <v>115</v>
      </c>
      <c r="E11" s="61">
        <f>SUM(C10:E10)</f>
        <v>93</v>
      </c>
      <c r="F11" s="79"/>
      <c r="G11" s="58"/>
      <c r="H11" s="62" t="s">
        <v>116</v>
      </c>
      <c r="I11" s="61">
        <f>SUM(G10:I10)</f>
        <v>11</v>
      </c>
      <c r="J11" s="54" t="s">
        <v>105</v>
      </c>
      <c r="K11" s="63">
        <f>SUM(K6:K9)</f>
        <v>131983</v>
      </c>
    </row>
    <row r="12" spans="1:11" ht="15.75">
      <c r="F12" s="56"/>
      <c r="H12" s="64" t="s">
        <v>117</v>
      </c>
      <c r="I12" s="65">
        <f>I11+E11</f>
        <v>104</v>
      </c>
    </row>
    <row r="13" spans="1:11">
      <c r="A13" s="56"/>
      <c r="B13" s="56"/>
      <c r="C13" s="56"/>
      <c r="D13" s="56"/>
      <c r="E13" s="56"/>
      <c r="F13" s="56"/>
      <c r="G13" s="56"/>
      <c r="H13" s="56"/>
      <c r="I13" s="56"/>
      <c r="J13" s="56"/>
      <c r="K13" s="56"/>
    </row>
    <row r="14" spans="1:11" ht="24">
      <c r="A14" s="74"/>
      <c r="B14" s="74" t="s">
        <v>118</v>
      </c>
      <c r="C14" s="74">
        <v>9</v>
      </c>
      <c r="D14" s="74">
        <v>8</v>
      </c>
      <c r="E14" s="74">
        <v>2</v>
      </c>
      <c r="F14" s="79"/>
      <c r="G14" s="74">
        <v>2</v>
      </c>
      <c r="H14" s="75" t="s">
        <v>119</v>
      </c>
      <c r="I14" s="74">
        <v>3</v>
      </c>
      <c r="J14" s="76" t="s">
        <v>120</v>
      </c>
      <c r="K14" s="77">
        <v>98183</v>
      </c>
    </row>
    <row r="15" spans="1:11" ht="48">
      <c r="A15" s="74"/>
      <c r="B15" s="74" t="s">
        <v>121</v>
      </c>
      <c r="C15" s="74">
        <v>9</v>
      </c>
      <c r="D15" s="74">
        <v>7</v>
      </c>
      <c r="E15" s="74">
        <v>1</v>
      </c>
      <c r="F15" s="79"/>
      <c r="G15" s="74">
        <v>6</v>
      </c>
      <c r="H15" s="76" t="s">
        <v>122</v>
      </c>
      <c r="I15" s="74">
        <v>3</v>
      </c>
      <c r="J15" s="76" t="s">
        <v>123</v>
      </c>
      <c r="K15" s="77">
        <v>131597</v>
      </c>
    </row>
    <row r="16" spans="1:11" ht="36">
      <c r="A16" s="74"/>
      <c r="B16" s="74" t="s">
        <v>124</v>
      </c>
      <c r="C16" s="74">
        <v>10</v>
      </c>
      <c r="D16" s="74">
        <v>7</v>
      </c>
      <c r="E16" s="74">
        <v>2</v>
      </c>
      <c r="F16" s="79"/>
      <c r="G16" s="74">
        <v>3</v>
      </c>
      <c r="H16" s="76" t="s">
        <v>125</v>
      </c>
      <c r="I16" s="74">
        <v>4</v>
      </c>
      <c r="J16" s="76" t="s">
        <v>126</v>
      </c>
      <c r="K16" s="77">
        <v>104211</v>
      </c>
    </row>
    <row r="17" spans="1:11" ht="45" customHeight="1">
      <c r="A17" s="1684" t="s">
        <v>137</v>
      </c>
      <c r="B17" s="1684"/>
      <c r="C17" s="74">
        <f>SUM(C14:C16)</f>
        <v>28</v>
      </c>
      <c r="D17" s="74">
        <f>SUM(D14:D16)</f>
        <v>22</v>
      </c>
      <c r="E17" s="74">
        <f>SUM(E14:E16)</f>
        <v>5</v>
      </c>
      <c r="F17" s="79"/>
      <c r="G17" s="74">
        <f>SUM(G14:G16)</f>
        <v>11</v>
      </c>
      <c r="H17" s="74"/>
      <c r="I17" s="74">
        <f>SUM(I14:I16)</f>
        <v>10</v>
      </c>
      <c r="J17" s="74"/>
      <c r="K17" s="74"/>
    </row>
    <row r="18" spans="1:11">
      <c r="A18" s="58"/>
      <c r="B18" s="58"/>
      <c r="C18" s="58"/>
      <c r="D18" s="60" t="s">
        <v>115</v>
      </c>
      <c r="E18" s="61">
        <f>SUM(C17:E17)</f>
        <v>55</v>
      </c>
      <c r="F18" s="79"/>
      <c r="G18" s="58"/>
      <c r="H18" s="62" t="s">
        <v>116</v>
      </c>
      <c r="I18" s="61">
        <f>SUM(G17:I17)</f>
        <v>21</v>
      </c>
      <c r="J18" s="54" t="s">
        <v>105</v>
      </c>
      <c r="K18" s="63">
        <f>SUM(K14:K16)</f>
        <v>333991</v>
      </c>
    </row>
    <row r="19" spans="1:11" ht="15.75">
      <c r="H19" s="64" t="s">
        <v>117</v>
      </c>
      <c r="I19" s="65">
        <f>I18+E18</f>
        <v>76</v>
      </c>
      <c r="K19" s="67"/>
    </row>
    <row r="20" spans="1:11">
      <c r="A20" s="70" t="s">
        <v>132</v>
      </c>
    </row>
    <row r="22" spans="1:11">
      <c r="A22" s="68" t="s">
        <v>130</v>
      </c>
      <c r="B22" s="66"/>
      <c r="C22" s="66"/>
      <c r="D22" s="66"/>
      <c r="E22" s="66"/>
      <c r="F22" s="66"/>
    </row>
    <row r="23" spans="1:11">
      <c r="A23" s="69"/>
      <c r="B23" s="66"/>
      <c r="C23" s="66"/>
      <c r="D23" s="66"/>
      <c r="E23" s="66"/>
      <c r="F23" s="66"/>
    </row>
    <row r="24" spans="1:11">
      <c r="A24" s="66" t="s">
        <v>127</v>
      </c>
      <c r="C24" s="66">
        <v>178</v>
      </c>
      <c r="D24" s="66"/>
      <c r="E24" s="66"/>
      <c r="F24" s="66"/>
    </row>
    <row r="25" spans="1:11">
      <c r="D25" s="66"/>
      <c r="E25" s="66"/>
      <c r="F25" s="66"/>
    </row>
    <row r="26" spans="1:11">
      <c r="A26" s="66" t="s">
        <v>128</v>
      </c>
      <c r="C26" s="66">
        <v>109</v>
      </c>
      <c r="D26" s="66"/>
      <c r="E26" s="66"/>
      <c r="F26" s="66"/>
    </row>
    <row r="27" spans="1:11">
      <c r="A27" s="66" t="s">
        <v>115</v>
      </c>
      <c r="C27" s="66">
        <v>39</v>
      </c>
    </row>
    <row r="28" spans="1:11">
      <c r="D28" s="66"/>
      <c r="E28" s="66"/>
      <c r="F28" s="66"/>
    </row>
    <row r="29" spans="1:11">
      <c r="A29" s="66" t="s">
        <v>129</v>
      </c>
      <c r="C29" s="67">
        <v>468145</v>
      </c>
    </row>
  </sheetData>
  <mergeCells count="3">
    <mergeCell ref="A1:K1"/>
    <mergeCell ref="A10:B10"/>
    <mergeCell ref="A17:B17"/>
  </mergeCells>
  <pageMargins left="0.25" right="0.25" top="0.75" bottom="0.75" header="0.3" footer="0.3"/>
  <pageSetup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3" zoomScale="140" zoomScaleNormal="140" workbookViewId="0">
      <selection activeCell="A11" sqref="A11:D11"/>
    </sheetView>
  </sheetViews>
  <sheetFormatPr defaultColWidth="9" defaultRowHeight="15"/>
  <cols>
    <col min="1" max="1" width="42.75" style="81" customWidth="1"/>
    <col min="2" max="4" width="20.875" style="81" customWidth="1"/>
    <col min="5" max="16384" width="9" style="81"/>
  </cols>
  <sheetData>
    <row r="1" spans="1:4" ht="18" customHeight="1">
      <c r="A1" s="1685" t="s">
        <v>179</v>
      </c>
      <c r="B1" s="1686"/>
      <c r="C1" s="1686"/>
      <c r="D1" s="1686"/>
    </row>
    <row r="2" spans="1:4" ht="18" customHeight="1">
      <c r="A2" s="115"/>
      <c r="B2" s="116"/>
      <c r="C2" s="116"/>
      <c r="D2" s="116"/>
    </row>
    <row r="3" spans="1:4" ht="18" customHeight="1">
      <c r="A3" s="115"/>
      <c r="B3" s="116"/>
      <c r="C3" s="116"/>
      <c r="D3" s="116"/>
    </row>
    <row r="4" spans="1:4" ht="18" customHeight="1" thickBot="1">
      <c r="A4" s="115"/>
      <c r="B4" s="116"/>
      <c r="C4" s="116"/>
      <c r="D4" s="116"/>
    </row>
    <row r="5" spans="1:4" ht="15" customHeight="1">
      <c r="A5" s="117" t="s">
        <v>138</v>
      </c>
      <c r="B5" s="119" t="s">
        <v>139</v>
      </c>
      <c r="C5" s="119" t="s">
        <v>169</v>
      </c>
      <c r="D5" s="120" t="s">
        <v>170</v>
      </c>
    </row>
    <row r="6" spans="1:4" ht="17.25" customHeight="1">
      <c r="A6" s="97" t="s">
        <v>78</v>
      </c>
      <c r="B6" s="98">
        <v>1090785</v>
      </c>
      <c r="C6" s="98">
        <v>767734</v>
      </c>
      <c r="D6" s="111">
        <v>0.70400000000000007</v>
      </c>
    </row>
    <row r="7" spans="1:4" ht="13.5" customHeight="1">
      <c r="A7" s="90"/>
      <c r="B7" s="94"/>
      <c r="C7" s="94"/>
      <c r="D7" s="118"/>
    </row>
    <row r="8" spans="1:4" ht="17.25" customHeight="1">
      <c r="A8" s="97" t="s">
        <v>171</v>
      </c>
      <c r="B8" s="98">
        <v>655737</v>
      </c>
      <c r="C8" s="98">
        <v>492504</v>
      </c>
      <c r="D8" s="111">
        <v>0.75099999999999989</v>
      </c>
    </row>
    <row r="9" spans="1:4" ht="17.25" customHeight="1">
      <c r="A9" s="97" t="s">
        <v>162</v>
      </c>
      <c r="B9" s="98">
        <v>357943</v>
      </c>
      <c r="C9" s="98">
        <v>209235</v>
      </c>
      <c r="D9" s="111">
        <v>0.58499999999999996</v>
      </c>
    </row>
    <row r="10" spans="1:4" ht="17.25" customHeight="1">
      <c r="A10" s="97" t="s">
        <v>154</v>
      </c>
      <c r="B10" s="98">
        <v>41040</v>
      </c>
      <c r="C10" s="98">
        <v>36954</v>
      </c>
      <c r="D10" s="111">
        <v>0.9</v>
      </c>
    </row>
    <row r="11" spans="1:4" ht="17.25" customHeight="1">
      <c r="A11" s="97" t="s">
        <v>158</v>
      </c>
      <c r="B11" s="98">
        <v>11444</v>
      </c>
      <c r="C11" s="98">
        <v>9830</v>
      </c>
      <c r="D11" s="111">
        <v>0.8590000000000001</v>
      </c>
    </row>
    <row r="12" spans="1:4" ht="17.25" customHeight="1">
      <c r="A12" s="97" t="s">
        <v>149</v>
      </c>
      <c r="B12" s="98">
        <v>9033</v>
      </c>
      <c r="C12" s="98">
        <v>8410</v>
      </c>
      <c r="D12" s="111">
        <v>0.93099999999999994</v>
      </c>
    </row>
    <row r="13" spans="1:4" ht="17.25" customHeight="1">
      <c r="A13" s="97" t="s">
        <v>151</v>
      </c>
      <c r="B13" s="98">
        <v>8930</v>
      </c>
      <c r="C13" s="98">
        <v>6588</v>
      </c>
      <c r="D13" s="111">
        <v>0.73799999999999999</v>
      </c>
    </row>
    <row r="14" spans="1:4" ht="17.25" customHeight="1">
      <c r="A14" s="97" t="s">
        <v>155</v>
      </c>
      <c r="B14" s="98">
        <v>1714</v>
      </c>
      <c r="C14" s="98">
        <v>1613</v>
      </c>
      <c r="D14" s="111">
        <v>0.94099999999999995</v>
      </c>
    </row>
    <row r="15" spans="1:4" ht="17.25" customHeight="1">
      <c r="A15" s="97" t="s">
        <v>153</v>
      </c>
      <c r="B15" s="98">
        <v>1463</v>
      </c>
      <c r="C15" s="98">
        <v>1291</v>
      </c>
      <c r="D15" s="111">
        <v>0.88200000000000001</v>
      </c>
    </row>
    <row r="16" spans="1:4" ht="17.25" customHeight="1">
      <c r="A16" s="97" t="s">
        <v>150</v>
      </c>
      <c r="B16" s="98">
        <v>652</v>
      </c>
      <c r="C16" s="98">
        <v>548</v>
      </c>
      <c r="D16" s="111">
        <v>0.84</v>
      </c>
    </row>
    <row r="17" spans="1:4" ht="17.25" customHeight="1">
      <c r="A17" s="97" t="s">
        <v>157</v>
      </c>
      <c r="B17" s="98">
        <v>343</v>
      </c>
      <c r="C17" s="98">
        <v>340</v>
      </c>
      <c r="D17" s="111">
        <v>0.99099999999999999</v>
      </c>
    </row>
    <row r="18" spans="1:4" ht="17.25" customHeight="1">
      <c r="A18" s="97" t="s">
        <v>160</v>
      </c>
      <c r="B18" s="98">
        <v>171</v>
      </c>
      <c r="C18" s="98">
        <v>169</v>
      </c>
      <c r="D18" s="111">
        <v>0.98799999999999999</v>
      </c>
    </row>
    <row r="19" spans="1:4" ht="17.25" customHeight="1">
      <c r="A19" s="97" t="s">
        <v>161</v>
      </c>
      <c r="B19" s="98">
        <v>68</v>
      </c>
      <c r="C19" s="98">
        <v>68</v>
      </c>
      <c r="D19" s="111">
        <v>1</v>
      </c>
    </row>
    <row r="20" spans="1:4" ht="17.25" customHeight="1">
      <c r="A20" s="97" t="s">
        <v>174</v>
      </c>
      <c r="B20" s="98">
        <v>50</v>
      </c>
      <c r="C20" s="98">
        <v>49</v>
      </c>
      <c r="D20" s="111">
        <v>0.98</v>
      </c>
    </row>
    <row r="21" spans="1:4" ht="17.25" customHeight="1">
      <c r="A21" s="97" t="s">
        <v>159</v>
      </c>
      <c r="B21" s="98">
        <v>11</v>
      </c>
      <c r="C21" s="98">
        <v>11</v>
      </c>
      <c r="D21" s="111">
        <v>1</v>
      </c>
    </row>
    <row r="22" spans="1:4" ht="17.25" customHeight="1">
      <c r="A22" s="97" t="s">
        <v>156</v>
      </c>
      <c r="B22" s="98">
        <v>7</v>
      </c>
      <c r="C22" s="98">
        <v>7</v>
      </c>
      <c r="D22" s="111">
        <v>1</v>
      </c>
    </row>
    <row r="23" spans="1:4" ht="17.25" customHeight="1">
      <c r="A23" s="97" t="s">
        <v>172</v>
      </c>
      <c r="B23" s="98">
        <v>4</v>
      </c>
      <c r="C23" s="98">
        <v>4</v>
      </c>
      <c r="D23" s="111">
        <v>1</v>
      </c>
    </row>
    <row r="24" spans="1:4" ht="17.25" customHeight="1">
      <c r="A24" s="97" t="s">
        <v>173</v>
      </c>
      <c r="B24" s="98">
        <v>3</v>
      </c>
      <c r="C24" s="98">
        <v>2</v>
      </c>
      <c r="D24" s="111">
        <v>0.66700000000000004</v>
      </c>
    </row>
    <row r="25" spans="1:4" ht="17.25" customHeight="1" thickBot="1">
      <c r="A25" s="112" t="s">
        <v>152</v>
      </c>
      <c r="B25" s="113">
        <v>1</v>
      </c>
      <c r="C25" s="113">
        <v>1</v>
      </c>
      <c r="D25" s="114">
        <v>1</v>
      </c>
    </row>
    <row r="26" spans="1:4" ht="17.25" customHeight="1">
      <c r="A26" s="97" t="s">
        <v>163</v>
      </c>
      <c r="B26" s="98">
        <v>3557</v>
      </c>
      <c r="C26" s="98">
        <v>1486</v>
      </c>
      <c r="D26" s="111">
        <v>0.41799999999999998</v>
      </c>
    </row>
  </sheetData>
  <sortState ref="A8:D26">
    <sortCondition descending="1" ref="B8:B26"/>
  </sortState>
  <mergeCells count="1">
    <mergeCell ref="A1:D1"/>
  </mergeCell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90" zoomScaleNormal="90" workbookViewId="0">
      <selection activeCell="E7" sqref="E7"/>
    </sheetView>
  </sheetViews>
  <sheetFormatPr defaultColWidth="9" defaultRowHeight="15"/>
  <cols>
    <col min="1" max="1" width="33.375" style="81" customWidth="1"/>
    <col min="2" max="3" width="9.875" style="81" customWidth="1"/>
    <col min="4" max="4" width="9.875" style="82" customWidth="1"/>
    <col min="5" max="11" width="8.5" style="81" customWidth="1"/>
    <col min="12" max="16384" width="9" style="81"/>
  </cols>
  <sheetData>
    <row r="1" spans="1:11" ht="18.75">
      <c r="A1" s="1687" t="s">
        <v>175</v>
      </c>
      <c r="B1" s="1687"/>
      <c r="C1" s="1687"/>
      <c r="D1" s="1687"/>
      <c r="E1" s="1687"/>
      <c r="F1" s="1687"/>
      <c r="G1" s="1687"/>
      <c r="H1" s="1687"/>
      <c r="I1" s="1687"/>
      <c r="J1" s="1687"/>
      <c r="K1" s="1687"/>
    </row>
    <row r="2" spans="1:11" ht="18.75">
      <c r="A2" s="80"/>
      <c r="B2" s="80"/>
      <c r="C2" s="80"/>
      <c r="D2" s="80"/>
      <c r="E2" s="80"/>
      <c r="F2" s="80"/>
      <c r="G2" s="80"/>
      <c r="H2" s="80"/>
      <c r="I2" s="80"/>
      <c r="J2" s="80"/>
      <c r="K2" s="80"/>
    </row>
    <row r="3" spans="1:11" ht="18.75">
      <c r="A3" s="80"/>
      <c r="B3" s="80"/>
      <c r="C3" s="80"/>
      <c r="D3" s="80"/>
      <c r="E3" s="80"/>
      <c r="F3" s="80"/>
      <c r="G3" s="80"/>
      <c r="H3" s="80"/>
      <c r="I3" s="80"/>
      <c r="J3" s="80"/>
      <c r="K3" s="80"/>
    </row>
    <row r="4" spans="1:11" ht="18" customHeight="1">
      <c r="A4" s="86"/>
      <c r="B4" s="1691" t="s">
        <v>164</v>
      </c>
      <c r="C4" s="1692"/>
      <c r="D4" s="1693"/>
      <c r="E4" s="1688" t="s">
        <v>177</v>
      </c>
      <c r="F4" s="1689"/>
      <c r="G4" s="1689"/>
      <c r="H4" s="1689"/>
      <c r="I4" s="1689"/>
      <c r="J4" s="1689"/>
      <c r="K4" s="1690"/>
    </row>
    <row r="5" spans="1:11" ht="30">
      <c r="A5" s="90" t="s">
        <v>138</v>
      </c>
      <c r="B5" s="91" t="s">
        <v>139</v>
      </c>
      <c r="C5" s="91" t="s">
        <v>169</v>
      </c>
      <c r="D5" s="92" t="s">
        <v>140</v>
      </c>
      <c r="E5" s="91" t="s">
        <v>141</v>
      </c>
      <c r="F5" s="91" t="s">
        <v>142</v>
      </c>
      <c r="G5" s="91" t="s">
        <v>143</v>
      </c>
      <c r="H5" s="91" t="s">
        <v>144</v>
      </c>
      <c r="I5" s="91" t="s">
        <v>145</v>
      </c>
      <c r="J5" s="91" t="s">
        <v>146</v>
      </c>
      <c r="K5" s="93" t="s">
        <v>147</v>
      </c>
    </row>
    <row r="6" spans="1:11" ht="9.75" customHeight="1">
      <c r="A6" s="90"/>
      <c r="B6" s="94"/>
      <c r="C6" s="94"/>
      <c r="D6" s="95"/>
      <c r="E6" s="94"/>
      <c r="F6" s="94"/>
      <c r="G6" s="94"/>
      <c r="H6" s="94"/>
      <c r="I6" s="94"/>
      <c r="J6" s="94"/>
      <c r="K6" s="96"/>
    </row>
    <row r="7" spans="1:11" ht="23.25" customHeight="1">
      <c r="A7" s="97" t="s">
        <v>148</v>
      </c>
      <c r="B7" s="98">
        <v>282719</v>
      </c>
      <c r="C7" s="98">
        <v>221669</v>
      </c>
      <c r="D7" s="99">
        <v>0.78400000000000003</v>
      </c>
      <c r="E7" s="108">
        <v>60032</v>
      </c>
      <c r="F7" s="98">
        <v>51180</v>
      </c>
      <c r="G7" s="98">
        <v>41993</v>
      </c>
      <c r="H7" s="98">
        <v>34757</v>
      </c>
      <c r="I7" s="98">
        <v>20660</v>
      </c>
      <c r="J7" s="277">
        <v>11628</v>
      </c>
      <c r="K7" s="276">
        <v>1419</v>
      </c>
    </row>
    <row r="8" spans="1:11" ht="23.25" customHeight="1">
      <c r="A8" s="97" t="s">
        <v>149</v>
      </c>
      <c r="B8" s="98">
        <v>2616</v>
      </c>
      <c r="C8" s="98">
        <v>2557</v>
      </c>
      <c r="D8" s="99">
        <v>0.97699999999999998</v>
      </c>
      <c r="E8" s="98">
        <v>917</v>
      </c>
      <c r="F8" s="98">
        <v>709</v>
      </c>
      <c r="G8" s="98">
        <v>508</v>
      </c>
      <c r="H8" s="98">
        <v>204</v>
      </c>
      <c r="I8" s="98">
        <v>201</v>
      </c>
      <c r="J8" s="98">
        <v>15</v>
      </c>
      <c r="K8" s="100">
        <v>3</v>
      </c>
    </row>
    <row r="9" spans="1:11" ht="23.25" customHeight="1">
      <c r="A9" s="97" t="s">
        <v>150</v>
      </c>
      <c r="B9" s="98">
        <v>181</v>
      </c>
      <c r="C9" s="98">
        <v>179</v>
      </c>
      <c r="D9" s="99">
        <v>0.9890000000000001</v>
      </c>
      <c r="E9" s="98">
        <v>95</v>
      </c>
      <c r="F9" s="98">
        <v>56</v>
      </c>
      <c r="G9" s="98">
        <v>13</v>
      </c>
      <c r="H9" s="98">
        <v>9</v>
      </c>
      <c r="I9" s="98">
        <v>4</v>
      </c>
      <c r="J9" s="98">
        <v>1</v>
      </c>
      <c r="K9" s="100">
        <v>1</v>
      </c>
    </row>
    <row r="10" spans="1:11" ht="23.25" customHeight="1">
      <c r="A10" s="97" t="s">
        <v>151</v>
      </c>
      <c r="B10" s="98">
        <v>1258</v>
      </c>
      <c r="C10" s="98">
        <v>1220</v>
      </c>
      <c r="D10" s="99">
        <v>0.97</v>
      </c>
      <c r="E10" s="98">
        <v>560</v>
      </c>
      <c r="F10" s="98">
        <v>365</v>
      </c>
      <c r="G10" s="98">
        <v>159</v>
      </c>
      <c r="H10" s="98">
        <v>76</v>
      </c>
      <c r="I10" s="98">
        <v>52</v>
      </c>
      <c r="J10" s="98">
        <v>7</v>
      </c>
      <c r="K10" s="100">
        <v>1</v>
      </c>
    </row>
    <row r="11" spans="1:11" ht="23.25" customHeight="1">
      <c r="A11" s="97" t="s">
        <v>388</v>
      </c>
      <c r="B11" s="98">
        <v>0</v>
      </c>
      <c r="C11" s="98">
        <v>0</v>
      </c>
      <c r="D11" s="99">
        <v>0</v>
      </c>
      <c r="E11" s="98">
        <v>0</v>
      </c>
      <c r="F11" s="98">
        <v>0</v>
      </c>
      <c r="G11" s="98">
        <v>0</v>
      </c>
      <c r="H11" s="98">
        <v>0</v>
      </c>
      <c r="I11" s="98">
        <v>0</v>
      </c>
      <c r="J11" s="98">
        <v>0</v>
      </c>
      <c r="K11" s="100">
        <v>0</v>
      </c>
    </row>
    <row r="12" spans="1:11" ht="23.25" customHeight="1">
      <c r="A12" s="97" t="s">
        <v>153</v>
      </c>
      <c r="B12" s="98">
        <v>243</v>
      </c>
      <c r="C12" s="98">
        <v>134</v>
      </c>
      <c r="D12" s="99">
        <v>0.55100000000000005</v>
      </c>
      <c r="E12" s="98">
        <v>78</v>
      </c>
      <c r="F12" s="98">
        <v>26</v>
      </c>
      <c r="G12" s="98">
        <v>18</v>
      </c>
      <c r="H12" s="98">
        <v>9</v>
      </c>
      <c r="I12" s="98">
        <v>1</v>
      </c>
      <c r="J12" s="98">
        <v>2</v>
      </c>
      <c r="K12" s="100">
        <v>0</v>
      </c>
    </row>
    <row r="13" spans="1:11" ht="9.75" customHeight="1" thickBot="1">
      <c r="A13" s="101"/>
      <c r="B13" s="102"/>
      <c r="C13" s="102"/>
      <c r="D13" s="103"/>
      <c r="E13" s="102"/>
      <c r="F13" s="102"/>
      <c r="G13" s="102"/>
      <c r="H13" s="102"/>
      <c r="I13" s="102"/>
      <c r="J13" s="102"/>
      <c r="K13" s="104"/>
    </row>
    <row r="14" spans="1:11" ht="23.25" customHeight="1" thickBot="1">
      <c r="A14" s="106" t="s">
        <v>176</v>
      </c>
      <c r="B14" s="105">
        <f>SUM(B7:B13)</f>
        <v>287017</v>
      </c>
      <c r="C14" s="105">
        <f t="shared" ref="C14:K14" si="0">SUM(C7:C13)</f>
        <v>225759</v>
      </c>
      <c r="D14" s="105"/>
      <c r="E14" s="105">
        <f t="shared" si="0"/>
        <v>61682</v>
      </c>
      <c r="F14" s="105">
        <f t="shared" si="0"/>
        <v>52336</v>
      </c>
      <c r="G14" s="105">
        <f t="shared" si="0"/>
        <v>42691</v>
      </c>
      <c r="H14" s="105">
        <f t="shared" si="0"/>
        <v>35055</v>
      </c>
      <c r="I14" s="105">
        <f t="shared" si="0"/>
        <v>20918</v>
      </c>
      <c r="J14" s="105">
        <f t="shared" si="0"/>
        <v>11653</v>
      </c>
      <c r="K14" s="105">
        <f t="shared" si="0"/>
        <v>1424</v>
      </c>
    </row>
    <row r="15" spans="1:11" ht="15.75">
      <c r="A15" s="7"/>
      <c r="B15" s="7"/>
      <c r="C15" s="7"/>
      <c r="D15" s="7"/>
      <c r="E15" s="7"/>
    </row>
    <row r="16" spans="1:11" ht="13.5" customHeight="1">
      <c r="A16" s="107" t="s">
        <v>486</v>
      </c>
      <c r="B16" s="7"/>
      <c r="C16" s="7"/>
      <c r="D16" s="7"/>
      <c r="E16" s="7"/>
      <c r="G16" s="87"/>
      <c r="H16" s="84" t="s">
        <v>166</v>
      </c>
      <c r="I16" s="84"/>
      <c r="J16" s="84"/>
      <c r="K16" s="84"/>
    </row>
    <row r="17" spans="1:11" ht="14.25" customHeight="1">
      <c r="A17" s="107" t="s">
        <v>178</v>
      </c>
      <c r="B17" s="7"/>
      <c r="C17" s="7"/>
      <c r="D17" s="88">
        <f>C7/468145</f>
        <v>0.4735050037915603</v>
      </c>
      <c r="E17" s="7"/>
      <c r="G17" s="87"/>
      <c r="H17" s="84" t="s">
        <v>167</v>
      </c>
      <c r="I17" s="84"/>
      <c r="J17" s="84"/>
      <c r="K17" s="84"/>
    </row>
    <row r="18" spans="1:11" ht="15.75">
      <c r="A18" s="7"/>
      <c r="B18" s="7"/>
      <c r="C18" s="7"/>
      <c r="D18" s="7"/>
      <c r="E18" s="7"/>
      <c r="G18" s="87"/>
      <c r="H18" s="84" t="s">
        <v>168</v>
      </c>
      <c r="I18" s="84"/>
      <c r="J18" s="84"/>
      <c r="K18" s="84"/>
    </row>
    <row r="19" spans="1:11">
      <c r="E19" s="109" t="s">
        <v>165</v>
      </c>
      <c r="F19" s="110"/>
      <c r="G19" s="110"/>
      <c r="H19" s="110"/>
      <c r="I19" s="110"/>
    </row>
  </sheetData>
  <mergeCells count="3">
    <mergeCell ref="A1:K1"/>
    <mergeCell ref="E4:K4"/>
    <mergeCell ref="B4:D4"/>
  </mergeCells>
  <pageMargins left="0.25" right="0.25" top="0.75" bottom="0.7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80" zoomScaleNormal="80" workbookViewId="0">
      <pane ySplit="9" topLeftCell="A10" activePane="bottomLeft" state="frozen"/>
      <selection pane="bottomLeft" activeCell="A38" sqref="A38"/>
    </sheetView>
  </sheetViews>
  <sheetFormatPr defaultColWidth="9" defaultRowHeight="15"/>
  <cols>
    <col min="1" max="1" width="25.375" style="195" customWidth="1"/>
    <col min="2" max="2" width="8.25" style="194" customWidth="1"/>
    <col min="3" max="4" width="11.5" style="195" customWidth="1"/>
    <col min="5" max="5" width="3.125" style="195" customWidth="1"/>
    <col min="6" max="6" width="12.5" style="196" bestFit="1" customWidth="1"/>
    <col min="7" max="7" width="4.125" style="233" customWidth="1"/>
    <col min="8" max="8" width="24.125" style="195" customWidth="1"/>
    <col min="9" max="9" width="11.5" style="195" customWidth="1"/>
    <col min="10" max="10" width="12.5" style="195" customWidth="1"/>
    <col min="11" max="11" width="20.25" style="195" customWidth="1"/>
    <col min="12" max="16384" width="9" style="195"/>
  </cols>
  <sheetData>
    <row r="1" spans="1:12" ht="18.75">
      <c r="A1" s="193" t="s">
        <v>431</v>
      </c>
      <c r="G1" s="197"/>
    </row>
    <row r="2" spans="1:12" ht="15.75">
      <c r="A2" s="202" t="s">
        <v>241</v>
      </c>
      <c r="B2" s="199"/>
      <c r="C2" s="198"/>
      <c r="D2" s="198"/>
      <c r="E2" s="198"/>
      <c r="F2" s="200"/>
      <c r="G2" s="201"/>
      <c r="H2" s="198"/>
      <c r="I2" s="198"/>
      <c r="J2" s="198"/>
      <c r="K2" s="198"/>
      <c r="L2" s="198"/>
    </row>
    <row r="3" spans="1:12" ht="15.75">
      <c r="B3" s="199"/>
      <c r="C3" s="203" t="s">
        <v>242</v>
      </c>
      <c r="D3" s="198"/>
      <c r="E3" s="198"/>
      <c r="F3" s="200"/>
      <c r="G3" s="201"/>
      <c r="H3" s="198"/>
      <c r="I3" s="198"/>
      <c r="J3" s="198"/>
      <c r="K3" s="198"/>
      <c r="L3" s="198"/>
    </row>
    <row r="4" spans="1:12" ht="31.5">
      <c r="A4" s="198" t="s">
        <v>243</v>
      </c>
      <c r="B4" s="195"/>
      <c r="C4" s="199" t="s">
        <v>244</v>
      </c>
      <c r="D4" s="200">
        <v>202838</v>
      </c>
      <c r="E4" s="198"/>
      <c r="F4" s="200"/>
      <c r="G4" s="201"/>
      <c r="H4" s="198"/>
      <c r="I4" s="198"/>
      <c r="J4" s="198"/>
      <c r="K4" s="198"/>
      <c r="L4" s="198"/>
    </row>
    <row r="5" spans="1:12" ht="31.5">
      <c r="A5" s="198" t="s">
        <v>245</v>
      </c>
      <c r="B5" s="195"/>
      <c r="C5" s="199" t="s">
        <v>246</v>
      </c>
      <c r="D5" s="200">
        <v>265500</v>
      </c>
      <c r="E5" s="198"/>
      <c r="F5" s="200"/>
      <c r="G5" s="201"/>
      <c r="H5" s="198"/>
      <c r="I5" s="198"/>
      <c r="J5" s="198"/>
      <c r="K5" s="198"/>
      <c r="L5" s="198"/>
    </row>
    <row r="6" spans="1:12" ht="15.75">
      <c r="A6" s="204" t="s">
        <v>247</v>
      </c>
      <c r="B6" s="204"/>
      <c r="D6" s="205">
        <f>SUM(D4:D5)</f>
        <v>468338</v>
      </c>
      <c r="E6" s="198"/>
      <c r="F6" s="200"/>
      <c r="G6" s="201"/>
      <c r="H6" s="198"/>
      <c r="I6" s="198"/>
      <c r="J6" s="198"/>
      <c r="K6" s="198"/>
      <c r="L6" s="198"/>
    </row>
    <row r="7" spans="1:12" ht="15.75">
      <c r="A7" s="198"/>
      <c r="B7" s="199"/>
      <c r="C7" s="198"/>
      <c r="D7" s="198"/>
      <c r="E7" s="198"/>
      <c r="F7" s="200"/>
      <c r="G7" s="201"/>
      <c r="H7" s="198"/>
      <c r="I7" s="198"/>
      <c r="J7" s="198"/>
      <c r="K7" s="198"/>
      <c r="L7" s="198"/>
    </row>
    <row r="8" spans="1:12" ht="15.75">
      <c r="A8" s="201"/>
      <c r="B8" s="206"/>
      <c r="C8" s="201"/>
      <c r="D8" s="201"/>
      <c r="E8" s="201"/>
      <c r="F8" s="207"/>
      <c r="G8" s="201"/>
      <c r="H8" s="201"/>
      <c r="I8" s="201"/>
      <c r="J8" s="201"/>
      <c r="K8" s="201"/>
      <c r="L8" s="201"/>
    </row>
    <row r="9" spans="1:12" s="211" customFormat="1" ht="47.25">
      <c r="A9" s="202" t="s">
        <v>248</v>
      </c>
      <c r="B9" s="208"/>
      <c r="C9" s="208" t="s">
        <v>249</v>
      </c>
      <c r="D9" s="208" t="s">
        <v>250</v>
      </c>
      <c r="E9" s="202"/>
      <c r="F9" s="209" t="s">
        <v>251</v>
      </c>
      <c r="G9" s="210"/>
      <c r="H9" s="202"/>
      <c r="I9" s="208" t="s">
        <v>252</v>
      </c>
      <c r="J9" s="208" t="s">
        <v>253</v>
      </c>
      <c r="K9" s="202"/>
      <c r="L9" s="202"/>
    </row>
    <row r="10" spans="1:12" ht="33.75" customHeight="1">
      <c r="A10" s="212" t="s">
        <v>254</v>
      </c>
      <c r="B10" s="213"/>
      <c r="C10" s="199"/>
      <c r="D10" s="199"/>
      <c r="E10" s="198"/>
      <c r="F10" s="214"/>
      <c r="G10" s="201"/>
      <c r="H10" s="199" t="s">
        <v>255</v>
      </c>
      <c r="I10" s="215">
        <f>802000/D6</f>
        <v>1.7124384525705794</v>
      </c>
      <c r="J10" s="216">
        <v>802000</v>
      </c>
      <c r="K10" s="199"/>
      <c r="L10" s="198"/>
    </row>
    <row r="11" spans="1:12" ht="15.75">
      <c r="A11" s="198" t="s">
        <v>256</v>
      </c>
      <c r="B11" s="217"/>
      <c r="C11" s="215">
        <v>3.3</v>
      </c>
      <c r="D11" s="198"/>
      <c r="E11" s="198"/>
      <c r="F11" s="218">
        <f>C11*D5</f>
        <v>876150</v>
      </c>
      <c r="G11" s="201"/>
      <c r="H11" s="198" t="s">
        <v>257</v>
      </c>
      <c r="I11" s="219">
        <v>0</v>
      </c>
      <c r="J11" s="198"/>
      <c r="K11" s="198"/>
      <c r="L11" s="198"/>
    </row>
    <row r="12" spans="1:12" ht="15.75">
      <c r="A12" s="198" t="s">
        <v>258</v>
      </c>
      <c r="B12" s="217"/>
      <c r="C12" s="215">
        <v>2.2000000000000002</v>
      </c>
      <c r="D12" s="198"/>
      <c r="E12" s="198"/>
      <c r="F12" s="218">
        <f>C12*D4</f>
        <v>446243.60000000003</v>
      </c>
      <c r="G12" s="201"/>
      <c r="H12" s="198" t="s">
        <v>257</v>
      </c>
      <c r="I12" s="219">
        <v>0</v>
      </c>
      <c r="J12" s="198"/>
      <c r="K12" s="198"/>
      <c r="L12" s="198"/>
    </row>
    <row r="13" spans="1:12" ht="15.75">
      <c r="A13" s="198" t="s">
        <v>259</v>
      </c>
      <c r="B13" s="217"/>
      <c r="C13" s="199"/>
      <c r="D13" s="219">
        <v>195</v>
      </c>
      <c r="E13" s="198"/>
      <c r="F13" s="218">
        <f>D13*776</f>
        <v>151320</v>
      </c>
      <c r="G13" s="201"/>
      <c r="H13" s="198" t="s">
        <v>257</v>
      </c>
      <c r="I13" s="198"/>
      <c r="J13" s="219">
        <v>0</v>
      </c>
      <c r="K13" s="198"/>
      <c r="L13" s="198"/>
    </row>
    <row r="14" spans="1:12" ht="15.75">
      <c r="A14" s="198" t="s">
        <v>260</v>
      </c>
      <c r="B14" s="217"/>
      <c r="C14" s="219">
        <v>1.05</v>
      </c>
      <c r="D14" s="219"/>
      <c r="E14" s="198"/>
      <c r="F14" s="218">
        <f>D6*C14</f>
        <v>491754.9</v>
      </c>
      <c r="G14" s="201"/>
      <c r="H14" s="198" t="s">
        <v>261</v>
      </c>
      <c r="I14" s="220">
        <f>200000/D6</f>
        <v>0.427042008122339</v>
      </c>
      <c r="J14" s="218">
        <v>200000</v>
      </c>
      <c r="K14" s="198" t="s">
        <v>262</v>
      </c>
      <c r="L14" s="198"/>
    </row>
    <row r="15" spans="1:12" ht="15.75">
      <c r="A15" s="198"/>
      <c r="B15" s="217"/>
      <c r="C15" s="219"/>
      <c r="D15" s="221" t="s">
        <v>263</v>
      </c>
      <c r="E15" s="198"/>
      <c r="F15" s="222">
        <f>SUM(F11:F14)</f>
        <v>1965468.5</v>
      </c>
      <c r="G15" s="201"/>
      <c r="H15" s="198"/>
      <c r="I15" s="198"/>
      <c r="J15" s="223">
        <f>SUM(J10:J14)</f>
        <v>1002000</v>
      </c>
      <c r="K15" s="198" t="s">
        <v>264</v>
      </c>
      <c r="L15" s="198"/>
    </row>
    <row r="16" spans="1:12" ht="15.75">
      <c r="A16" s="198"/>
      <c r="B16" s="217"/>
      <c r="C16" s="219"/>
      <c r="D16" s="219"/>
      <c r="E16" s="198"/>
      <c r="F16" s="224"/>
      <c r="G16" s="201"/>
      <c r="H16" s="198"/>
      <c r="I16" s="198"/>
      <c r="J16" s="198"/>
      <c r="K16" s="198"/>
      <c r="L16" s="198"/>
    </row>
    <row r="17" spans="1:12" ht="15.75">
      <c r="A17" s="225" t="s">
        <v>265</v>
      </c>
      <c r="B17" s="217"/>
      <c r="C17" s="219"/>
      <c r="D17" s="219"/>
      <c r="E17" s="198"/>
      <c r="F17" s="226">
        <f>F15/D6</f>
        <v>4.1966880757060068</v>
      </c>
      <c r="G17" s="201"/>
      <c r="H17" s="198"/>
      <c r="I17" s="227">
        <f>SUM(I10:I15)</f>
        <v>2.1394804606929183</v>
      </c>
      <c r="J17" s="198"/>
      <c r="K17" s="198"/>
      <c r="L17" s="198"/>
    </row>
    <row r="18" spans="1:12" ht="15.75">
      <c r="A18" s="198"/>
      <c r="B18" s="217"/>
      <c r="C18" s="219"/>
      <c r="D18" s="219"/>
      <c r="E18" s="198"/>
      <c r="F18" s="224"/>
      <c r="G18" s="201"/>
      <c r="H18" s="198"/>
      <c r="I18" s="198"/>
      <c r="J18" s="198"/>
      <c r="K18" s="198"/>
      <c r="L18" s="198"/>
    </row>
    <row r="19" spans="1:12" ht="15.75">
      <c r="A19" s="198"/>
      <c r="B19" s="217"/>
      <c r="C19" s="219"/>
      <c r="D19" s="219"/>
      <c r="E19" s="198"/>
      <c r="F19" s="224"/>
      <c r="G19" s="201"/>
      <c r="H19" s="228" t="s">
        <v>282</v>
      </c>
      <c r="I19" s="198"/>
      <c r="J19" s="198"/>
      <c r="K19" s="198"/>
      <c r="L19" s="198"/>
    </row>
    <row r="20" spans="1:12" ht="27.75" customHeight="1">
      <c r="A20" s="198"/>
      <c r="B20" s="217"/>
      <c r="C20" s="1697" t="s">
        <v>432</v>
      </c>
      <c r="D20" s="1697"/>
      <c r="E20" s="1697"/>
      <c r="F20" s="1697"/>
      <c r="G20" s="201"/>
      <c r="H20" s="1694" t="s">
        <v>406</v>
      </c>
      <c r="I20" s="1694"/>
      <c r="J20" s="1694"/>
      <c r="K20" s="198"/>
      <c r="L20" s="198"/>
    </row>
    <row r="21" spans="1:12" ht="15" customHeight="1">
      <c r="A21" s="198"/>
      <c r="B21" s="217"/>
      <c r="C21" s="260" t="s">
        <v>434</v>
      </c>
      <c r="D21" s="261"/>
      <c r="E21" s="261"/>
      <c r="F21" s="261"/>
      <c r="G21" s="201"/>
      <c r="H21" s="258" t="s">
        <v>433</v>
      </c>
      <c r="I21" s="259"/>
      <c r="J21" s="259"/>
      <c r="K21" s="198"/>
      <c r="L21" s="198"/>
    </row>
    <row r="22" spans="1:12" ht="28.5" customHeight="1">
      <c r="A22" s="198"/>
      <c r="B22" s="217"/>
      <c r="C22" s="1697" t="s">
        <v>430</v>
      </c>
      <c r="D22" s="1697"/>
      <c r="E22" s="1697"/>
      <c r="F22" s="1697"/>
      <c r="G22" s="201"/>
      <c r="H22" s="258" t="s">
        <v>485</v>
      </c>
      <c r="I22" s="259"/>
      <c r="J22" s="259"/>
      <c r="K22" s="198"/>
      <c r="L22" s="198"/>
    </row>
    <row r="23" spans="1:12" ht="15.75">
      <c r="A23" s="198"/>
      <c r="B23" s="217"/>
      <c r="C23" s="219"/>
      <c r="D23" s="219"/>
      <c r="E23" s="198"/>
      <c r="F23" s="224"/>
      <c r="G23" s="201"/>
      <c r="H23" s="258" t="s">
        <v>405</v>
      </c>
      <c r="I23" s="259"/>
      <c r="J23" s="259"/>
      <c r="K23" s="198"/>
      <c r="L23" s="198"/>
    </row>
    <row r="24" spans="1:12" ht="15.75">
      <c r="A24" s="201"/>
      <c r="B24" s="206"/>
      <c r="C24" s="229"/>
      <c r="D24" s="229"/>
      <c r="E24" s="201"/>
      <c r="F24" s="230"/>
      <c r="G24" s="201"/>
      <c r="H24" s="201"/>
      <c r="I24" s="201"/>
      <c r="J24" s="197"/>
      <c r="K24" s="201"/>
      <c r="L24" s="201"/>
    </row>
    <row r="25" spans="1:12" ht="15.75">
      <c r="A25" s="202" t="s">
        <v>266</v>
      </c>
      <c r="B25" s="199"/>
      <c r="C25" s="219"/>
      <c r="D25" s="219"/>
      <c r="E25" s="198"/>
      <c r="F25" s="224"/>
      <c r="G25" s="201"/>
      <c r="H25" s="198"/>
      <c r="I25" s="198"/>
      <c r="J25" s="198"/>
      <c r="K25" s="198"/>
      <c r="L25" s="198"/>
    </row>
    <row r="26" spans="1:12" ht="15.75">
      <c r="A26" s="202"/>
      <c r="B26" s="199"/>
      <c r="C26" s="219"/>
      <c r="D26" s="219"/>
      <c r="E26" s="198"/>
      <c r="F26" s="224"/>
      <c r="G26" s="201"/>
      <c r="H26" s="198"/>
      <c r="I26" s="198"/>
      <c r="J26" s="198"/>
      <c r="K26" s="198"/>
      <c r="L26" s="198"/>
    </row>
    <row r="27" spans="1:12" ht="15.75">
      <c r="A27" s="198" t="s">
        <v>427</v>
      </c>
      <c r="B27" s="199"/>
      <c r="C27" s="219"/>
      <c r="D27" s="219"/>
      <c r="E27" s="198"/>
      <c r="F27" s="257" t="s">
        <v>429</v>
      </c>
      <c r="G27" s="201"/>
      <c r="H27" s="198" t="s">
        <v>428</v>
      </c>
      <c r="I27" s="198"/>
      <c r="J27" s="198"/>
      <c r="K27" s="198"/>
      <c r="L27" s="198"/>
    </row>
    <row r="28" spans="1:12" ht="15.75">
      <c r="A28" s="198"/>
      <c r="B28" s="199"/>
      <c r="C28" s="219"/>
      <c r="D28" s="219"/>
      <c r="E28" s="198"/>
      <c r="F28" s="224"/>
      <c r="G28" s="201"/>
      <c r="H28" s="198"/>
      <c r="I28" s="198"/>
      <c r="J28" s="198"/>
      <c r="K28" s="198"/>
      <c r="L28" s="198"/>
    </row>
    <row r="29" spans="1:12" ht="47.25">
      <c r="A29" s="198" t="s">
        <v>267</v>
      </c>
      <c r="B29" s="231" t="s">
        <v>268</v>
      </c>
      <c r="C29" s="219">
        <v>1</v>
      </c>
      <c r="D29" s="198"/>
      <c r="E29" s="198"/>
      <c r="F29" s="200"/>
      <c r="G29" s="201"/>
      <c r="H29" s="198" t="s">
        <v>269</v>
      </c>
      <c r="I29" s="219">
        <v>1</v>
      </c>
      <c r="J29" s="198"/>
      <c r="K29" s="198"/>
      <c r="L29" s="198"/>
    </row>
    <row r="30" spans="1:12" ht="36.75" customHeight="1">
      <c r="A30" s="198"/>
      <c r="B30" s="1695" t="s">
        <v>270</v>
      </c>
      <c r="C30" s="1695"/>
      <c r="D30" s="1695"/>
      <c r="E30" s="198"/>
      <c r="F30" s="200"/>
      <c r="G30" s="201"/>
      <c r="H30" s="198"/>
      <c r="I30" s="198"/>
      <c r="J30" s="198"/>
      <c r="K30" s="198"/>
      <c r="L30" s="198"/>
    </row>
    <row r="31" spans="1:12" ht="39.75" customHeight="1">
      <c r="A31" s="198"/>
      <c r="B31" s="1696" t="s">
        <v>271</v>
      </c>
      <c r="C31" s="1696"/>
      <c r="D31" s="1696"/>
      <c r="E31" s="198"/>
      <c r="F31" s="200"/>
      <c r="G31" s="201"/>
      <c r="H31" s="198"/>
      <c r="I31" s="198"/>
      <c r="J31" s="198"/>
      <c r="K31" s="198"/>
      <c r="L31" s="198"/>
    </row>
    <row r="32" spans="1:12" ht="39.75" customHeight="1">
      <c r="B32" s="1695" t="s">
        <v>272</v>
      </c>
      <c r="C32" s="1695"/>
      <c r="D32" s="1695"/>
      <c r="G32" s="197"/>
    </row>
    <row r="33" spans="1:9">
      <c r="B33" s="195"/>
      <c r="G33" s="197"/>
    </row>
    <row r="34" spans="1:9" ht="30">
      <c r="A34" s="194" t="s">
        <v>273</v>
      </c>
      <c r="B34" s="194" t="s">
        <v>274</v>
      </c>
      <c r="C34" s="195" t="s">
        <v>275</v>
      </c>
      <c r="D34" s="232"/>
      <c r="G34" s="197"/>
      <c r="H34" s="194" t="s">
        <v>276</v>
      </c>
      <c r="I34" s="195" t="s">
        <v>277</v>
      </c>
    </row>
    <row r="35" spans="1:9">
      <c r="A35" s="194" t="s">
        <v>278</v>
      </c>
      <c r="C35" s="195" t="s">
        <v>279</v>
      </c>
      <c r="G35" s="197"/>
      <c r="H35" s="195" t="s">
        <v>280</v>
      </c>
      <c r="I35" s="195" t="s">
        <v>281</v>
      </c>
    </row>
    <row r="36" spans="1:9">
      <c r="G36" s="197"/>
    </row>
    <row r="38" spans="1:9">
      <c r="A38" s="280" t="s">
        <v>484</v>
      </c>
    </row>
    <row r="39" spans="1:9">
      <c r="A39" s="263" t="s">
        <v>451</v>
      </c>
      <c r="C39" s="196"/>
    </row>
    <row r="40" spans="1:9">
      <c r="C40" s="196"/>
    </row>
  </sheetData>
  <mergeCells count="6">
    <mergeCell ref="H20:J20"/>
    <mergeCell ref="B30:D30"/>
    <mergeCell ref="B31:D31"/>
    <mergeCell ref="B32:D32"/>
    <mergeCell ref="C22:F22"/>
    <mergeCell ref="C20:F20"/>
  </mergeCells>
  <pageMargins left="0.25" right="0.25" top="0.75" bottom="0.75" header="0.3" footer="0.3"/>
  <pageSetup scale="8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workbookViewId="0">
      <selection activeCell="B3" sqref="B3"/>
    </sheetView>
  </sheetViews>
  <sheetFormatPr defaultRowHeight="15.75"/>
  <cols>
    <col min="1" max="1" width="77.875" customWidth="1"/>
    <col min="2" max="3" width="11.625" style="3" customWidth="1"/>
  </cols>
  <sheetData>
    <row r="1" spans="1:3" ht="18.75">
      <c r="A1" s="5" t="s">
        <v>4</v>
      </c>
    </row>
    <row r="2" spans="1:3">
      <c r="A2" s="1"/>
    </row>
    <row r="3" spans="1:3" s="8" customFormat="1" ht="33" customHeight="1" thickBot="1">
      <c r="A3" s="9" t="s">
        <v>30</v>
      </c>
      <c r="B3" s="10" t="s">
        <v>1</v>
      </c>
      <c r="C3" s="10" t="s">
        <v>2</v>
      </c>
    </row>
    <row r="4" spans="1:3" ht="16.5" thickTop="1">
      <c r="A4" s="2"/>
      <c r="B4" s="4"/>
      <c r="C4" s="4"/>
    </row>
    <row r="5" spans="1:3">
      <c r="A5" t="s">
        <v>5</v>
      </c>
      <c r="B5" s="3">
        <v>2835</v>
      </c>
      <c r="C5" s="3">
        <v>242</v>
      </c>
    </row>
    <row r="6" spans="1:3">
      <c r="A6" t="s">
        <v>6</v>
      </c>
      <c r="B6" s="3">
        <v>1966</v>
      </c>
      <c r="C6" s="3">
        <v>1467</v>
      </c>
    </row>
    <row r="7" spans="1:3">
      <c r="A7" t="s">
        <v>7</v>
      </c>
      <c r="B7" s="3">
        <v>1840</v>
      </c>
      <c r="C7" s="3">
        <v>221</v>
      </c>
    </row>
    <row r="8" spans="1:3">
      <c r="A8" t="s">
        <v>8</v>
      </c>
      <c r="B8" s="3">
        <v>1814</v>
      </c>
      <c r="C8" s="3">
        <v>335</v>
      </c>
    </row>
    <row r="9" spans="1:3">
      <c r="A9" t="s">
        <v>9</v>
      </c>
      <c r="B9" s="3">
        <v>1485</v>
      </c>
      <c r="C9" s="3">
        <v>252</v>
      </c>
    </row>
    <row r="10" spans="1:3">
      <c r="A10" t="s">
        <v>10</v>
      </c>
      <c r="B10" s="3">
        <v>1436</v>
      </c>
      <c r="C10" s="3">
        <v>246</v>
      </c>
    </row>
    <row r="11" spans="1:3">
      <c r="A11" t="s">
        <v>11</v>
      </c>
      <c r="B11" s="3">
        <v>1408</v>
      </c>
      <c r="C11" s="3">
        <v>245</v>
      </c>
    </row>
    <row r="12" spans="1:3">
      <c r="A12" t="s">
        <v>12</v>
      </c>
      <c r="B12" s="3">
        <v>1266</v>
      </c>
      <c r="C12" s="3">
        <v>308</v>
      </c>
    </row>
    <row r="13" spans="1:3">
      <c r="A13" t="s">
        <v>13</v>
      </c>
      <c r="B13" s="3">
        <v>1149</v>
      </c>
      <c r="C13" s="3">
        <v>316</v>
      </c>
    </row>
    <row r="14" spans="1:3">
      <c r="A14" t="s">
        <v>14</v>
      </c>
      <c r="B14" s="3">
        <v>1063</v>
      </c>
      <c r="C14" s="3">
        <v>284</v>
      </c>
    </row>
    <row r="15" spans="1:3">
      <c r="A15" t="s">
        <v>15</v>
      </c>
      <c r="B15" s="3">
        <v>1003</v>
      </c>
      <c r="C15" s="3">
        <v>273</v>
      </c>
    </row>
    <row r="16" spans="1:3">
      <c r="A16" t="s">
        <v>16</v>
      </c>
      <c r="B16" s="3">
        <v>998</v>
      </c>
      <c r="C16" s="3">
        <v>267</v>
      </c>
    </row>
    <row r="17" spans="1:3">
      <c r="A17" t="s">
        <v>17</v>
      </c>
      <c r="B17" s="3">
        <v>804</v>
      </c>
      <c r="C17" s="3">
        <v>204</v>
      </c>
    </row>
    <row r="18" spans="1:3">
      <c r="A18" t="s">
        <v>18</v>
      </c>
      <c r="B18" s="3">
        <v>785</v>
      </c>
      <c r="C18" s="3">
        <v>201</v>
      </c>
    </row>
    <row r="19" spans="1:3">
      <c r="A19" t="s">
        <v>19</v>
      </c>
      <c r="B19" s="3">
        <v>599</v>
      </c>
      <c r="C19" s="3">
        <v>324</v>
      </c>
    </row>
    <row r="20" spans="1:3">
      <c r="A20" t="s">
        <v>20</v>
      </c>
      <c r="B20" s="3">
        <v>535</v>
      </c>
      <c r="C20" s="3">
        <v>427</v>
      </c>
    </row>
    <row r="21" spans="1:3">
      <c r="A21" t="s">
        <v>21</v>
      </c>
      <c r="B21" s="3">
        <v>490</v>
      </c>
      <c r="C21" s="3">
        <v>412</v>
      </c>
    </row>
    <row r="22" spans="1:3">
      <c r="A22" t="s">
        <v>22</v>
      </c>
      <c r="B22" s="3">
        <v>443</v>
      </c>
      <c r="C22" s="3">
        <v>403</v>
      </c>
    </row>
    <row r="23" spans="1:3">
      <c r="A23" t="s">
        <v>23</v>
      </c>
      <c r="B23" s="3">
        <v>370</v>
      </c>
      <c r="C23" s="3">
        <v>127</v>
      </c>
    </row>
    <row r="24" spans="1:3">
      <c r="A24" t="s">
        <v>24</v>
      </c>
      <c r="B24" s="3">
        <v>359</v>
      </c>
      <c r="C24" s="3">
        <v>276</v>
      </c>
    </row>
    <row r="25" spans="1:3">
      <c r="A25" t="s">
        <v>25</v>
      </c>
      <c r="B25" s="3">
        <v>346</v>
      </c>
      <c r="C25" s="3">
        <v>310</v>
      </c>
    </row>
    <row r="26" spans="1:3">
      <c r="A26" t="s">
        <v>26</v>
      </c>
      <c r="B26" s="3">
        <v>342</v>
      </c>
      <c r="C26" s="3">
        <v>318</v>
      </c>
    </row>
    <row r="27" spans="1:3">
      <c r="A27" t="s">
        <v>27</v>
      </c>
      <c r="B27" s="3">
        <v>341</v>
      </c>
      <c r="C27" s="3">
        <v>306</v>
      </c>
    </row>
    <row r="28" spans="1:3">
      <c r="A28" t="s">
        <v>28</v>
      </c>
      <c r="B28" s="3">
        <v>331</v>
      </c>
      <c r="C28" s="3">
        <v>321</v>
      </c>
    </row>
    <row r="29" spans="1:3">
      <c r="A29" t="s">
        <v>29</v>
      </c>
      <c r="B29" s="3">
        <v>308</v>
      </c>
      <c r="C29" s="3">
        <v>304</v>
      </c>
    </row>
    <row r="30" spans="1:3">
      <c r="B30" s="6">
        <v>38376</v>
      </c>
      <c r="C30" s="6">
        <v>21373</v>
      </c>
    </row>
    <row r="32" spans="1:3">
      <c r="A32" s="1" t="s">
        <v>0</v>
      </c>
    </row>
    <row r="33" spans="1:1">
      <c r="A33" t="s">
        <v>3</v>
      </c>
    </row>
  </sheetData>
  <pageMargins left="0.7" right="0.7" top="0.75" bottom="0.75" header="0.3" footer="0.3"/>
  <pageSetup scale="9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70" zoomScaleNormal="70" workbookViewId="0">
      <selection activeCell="B27" sqref="B27"/>
    </sheetView>
  </sheetViews>
  <sheetFormatPr defaultRowHeight="15.75"/>
  <cols>
    <col min="1" max="1" width="41.875" customWidth="1"/>
    <col min="2" max="3" width="11.625" customWidth="1"/>
  </cols>
  <sheetData>
    <row r="1" spans="1:5" ht="18.75">
      <c r="A1" s="1698" t="s">
        <v>31</v>
      </c>
      <c r="B1" s="1698"/>
      <c r="C1" s="1698"/>
      <c r="D1" s="11"/>
      <c r="E1" s="11"/>
    </row>
    <row r="2" spans="1:5">
      <c r="A2" s="11"/>
      <c r="B2" s="11"/>
      <c r="C2" s="11"/>
      <c r="D2" s="11"/>
      <c r="E2" s="11"/>
    </row>
    <row r="3" spans="1:5" ht="35.25" customHeight="1" thickBot="1">
      <c r="A3" s="15" t="s">
        <v>30</v>
      </c>
      <c r="B3" s="16" t="s">
        <v>1</v>
      </c>
      <c r="C3" s="17" t="s">
        <v>2</v>
      </c>
      <c r="D3" s="11"/>
      <c r="E3" s="11"/>
    </row>
    <row r="4" spans="1:5" ht="16.5" thickTop="1">
      <c r="A4" s="11"/>
      <c r="B4" s="14"/>
      <c r="C4" s="14"/>
      <c r="D4" s="11"/>
      <c r="E4" s="11"/>
    </row>
    <row r="5" spans="1:5">
      <c r="A5" s="11" t="s">
        <v>32</v>
      </c>
      <c r="B5" s="14">
        <v>1022534</v>
      </c>
      <c r="C5" s="14">
        <v>466749</v>
      </c>
      <c r="D5" s="12"/>
      <c r="E5" s="11"/>
    </row>
    <row r="6" spans="1:5">
      <c r="A6" s="11" t="s">
        <v>33</v>
      </c>
      <c r="B6" s="14">
        <v>967482</v>
      </c>
      <c r="C6" s="14">
        <v>656180</v>
      </c>
      <c r="D6" s="12"/>
      <c r="E6" s="11"/>
    </row>
    <row r="7" spans="1:5">
      <c r="A7" s="11" t="s">
        <v>34</v>
      </c>
      <c r="B7" s="14">
        <v>634563</v>
      </c>
      <c r="C7" s="14">
        <v>208617</v>
      </c>
      <c r="D7" s="12"/>
      <c r="E7" s="11"/>
    </row>
    <row r="8" spans="1:5">
      <c r="A8" s="11" t="s">
        <v>35</v>
      </c>
      <c r="B8" s="14">
        <v>481788</v>
      </c>
      <c r="C8" s="14">
        <v>60018</v>
      </c>
      <c r="D8" s="12"/>
      <c r="E8" s="11"/>
    </row>
    <row r="9" spans="1:5">
      <c r="A9" s="11" t="s">
        <v>36</v>
      </c>
      <c r="B9" s="14">
        <v>468388</v>
      </c>
      <c r="C9" s="14">
        <v>90253</v>
      </c>
      <c r="D9" s="12"/>
      <c r="E9" s="11"/>
    </row>
    <row r="10" spans="1:5">
      <c r="A10" s="11" t="s">
        <v>37</v>
      </c>
      <c r="B10" s="14">
        <v>356298</v>
      </c>
      <c r="C10" s="14">
        <v>295516</v>
      </c>
      <c r="D10" s="12"/>
      <c r="E10" s="11"/>
    </row>
    <row r="11" spans="1:5">
      <c r="A11" s="11" t="s">
        <v>38</v>
      </c>
      <c r="B11" s="14">
        <v>338463</v>
      </c>
      <c r="C11" s="14">
        <v>155136</v>
      </c>
      <c r="D11" s="12"/>
      <c r="E11" s="11"/>
    </row>
    <row r="12" spans="1:5">
      <c r="A12" s="11" t="s">
        <v>39</v>
      </c>
      <c r="B12" s="14">
        <v>327268</v>
      </c>
      <c r="C12" s="14">
        <v>114167</v>
      </c>
      <c r="D12" s="12"/>
      <c r="E12" s="11"/>
    </row>
    <row r="13" spans="1:5">
      <c r="A13" s="11" t="s">
        <v>40</v>
      </c>
      <c r="B13" s="14">
        <v>296601</v>
      </c>
      <c r="C13" s="14">
        <v>149429</v>
      </c>
      <c r="D13" s="12"/>
      <c r="E13" s="11"/>
    </row>
    <row r="14" spans="1:5">
      <c r="A14" s="11" t="s">
        <v>41</v>
      </c>
      <c r="B14" s="14">
        <v>296303</v>
      </c>
      <c r="C14" s="14">
        <v>170843</v>
      </c>
      <c r="D14" s="12"/>
      <c r="E14" s="11"/>
    </row>
    <row r="15" spans="1:5">
      <c r="A15" s="11" t="s">
        <v>42</v>
      </c>
      <c r="B15" s="14">
        <v>274205</v>
      </c>
      <c r="C15" s="14">
        <v>131573</v>
      </c>
      <c r="D15" s="12"/>
      <c r="E15" s="11"/>
    </row>
    <row r="16" spans="1:5">
      <c r="A16" s="11" t="s">
        <v>43</v>
      </c>
      <c r="B16" s="14">
        <v>270033</v>
      </c>
      <c r="C16" s="14">
        <v>28588</v>
      </c>
      <c r="D16" s="12"/>
      <c r="E16" s="11"/>
    </row>
    <row r="17" spans="1:5">
      <c r="A17" s="11" t="s">
        <v>44</v>
      </c>
      <c r="B17" s="14">
        <v>263863</v>
      </c>
      <c r="C17" s="14">
        <v>14687</v>
      </c>
      <c r="D17" s="12"/>
      <c r="E17" s="11"/>
    </row>
    <row r="18" spans="1:5">
      <c r="A18" s="11" t="s">
        <v>45</v>
      </c>
      <c r="B18" s="14">
        <v>238997</v>
      </c>
      <c r="C18" s="14">
        <v>161046</v>
      </c>
      <c r="D18" s="12"/>
      <c r="E18" s="11"/>
    </row>
    <row r="19" spans="1:5">
      <c r="A19" s="11" t="s">
        <v>46</v>
      </c>
      <c r="B19" s="14">
        <v>168915</v>
      </c>
      <c r="C19" s="14">
        <v>30074</v>
      </c>
      <c r="D19" s="12"/>
      <c r="E19" s="11"/>
    </row>
    <row r="20" spans="1:5">
      <c r="A20" s="11" t="s">
        <v>47</v>
      </c>
      <c r="B20" s="14">
        <v>157371</v>
      </c>
      <c r="C20" s="14">
        <v>17990</v>
      </c>
      <c r="D20" s="12"/>
      <c r="E20" s="11"/>
    </row>
    <row r="21" spans="1:5">
      <c r="A21" s="11" t="s">
        <v>48</v>
      </c>
      <c r="B21" s="14">
        <v>151079</v>
      </c>
      <c r="C21" s="14">
        <v>61421</v>
      </c>
      <c r="D21" s="12"/>
      <c r="E21" s="11"/>
    </row>
    <row r="22" spans="1:5">
      <c r="A22" s="11" t="s">
        <v>49</v>
      </c>
      <c r="B22" s="14">
        <v>133083</v>
      </c>
      <c r="C22" s="14">
        <v>42022</v>
      </c>
      <c r="D22" s="12"/>
      <c r="E22" s="11"/>
    </row>
    <row r="23" spans="1:5">
      <c r="A23" s="11" t="s">
        <v>50</v>
      </c>
      <c r="B23" s="14">
        <v>123918</v>
      </c>
      <c r="C23" s="14">
        <v>67947</v>
      </c>
      <c r="D23" s="12"/>
      <c r="E23" s="11"/>
    </row>
    <row r="24" spans="1:5">
      <c r="A24" s="11" t="s">
        <v>51</v>
      </c>
      <c r="B24" s="14">
        <v>122277</v>
      </c>
      <c r="C24" s="14">
        <v>19630</v>
      </c>
      <c r="D24" s="12"/>
      <c r="E24" s="11"/>
    </row>
    <row r="25" spans="1:5">
      <c r="A25" s="11" t="s">
        <v>52</v>
      </c>
      <c r="B25" s="14">
        <v>120900</v>
      </c>
      <c r="C25" s="14">
        <v>51372</v>
      </c>
      <c r="D25" s="12"/>
      <c r="E25" s="11"/>
    </row>
    <row r="26" spans="1:5">
      <c r="A26" s="18" t="s">
        <v>60</v>
      </c>
      <c r="B26" s="6">
        <f>SUM(B5:B25)</f>
        <v>7214329</v>
      </c>
      <c r="C26" s="6">
        <f>SUM(C5:C25)</f>
        <v>2993258</v>
      </c>
      <c r="D26" s="12"/>
      <c r="E26" s="11"/>
    </row>
    <row r="27" spans="1:5" s="11" customFormat="1">
      <c r="A27" s="19" t="s">
        <v>61</v>
      </c>
      <c r="B27" s="20">
        <v>9790415</v>
      </c>
      <c r="C27" s="14"/>
      <c r="D27" s="12"/>
    </row>
    <row r="28" spans="1:5" s="11" customFormat="1">
      <c r="B28" s="14"/>
      <c r="C28" s="14"/>
      <c r="D28" s="12"/>
    </row>
    <row r="29" spans="1:5">
      <c r="A29" s="13" t="s">
        <v>0</v>
      </c>
      <c r="B29" s="14"/>
      <c r="C29" s="14"/>
      <c r="D29" s="11"/>
      <c r="E29" s="11"/>
    </row>
    <row r="30" spans="1:5">
      <c r="A30" s="11" t="s">
        <v>53</v>
      </c>
      <c r="B30" s="14"/>
      <c r="C30" s="14"/>
      <c r="D30" s="11"/>
      <c r="E30" s="11"/>
    </row>
    <row r="32" spans="1:5">
      <c r="A32" s="13" t="s">
        <v>59</v>
      </c>
    </row>
    <row r="33" spans="1:2">
      <c r="A33" t="s">
        <v>62</v>
      </c>
      <c r="B33" s="14">
        <f>B6+B13+B14+B23+B24</f>
        <v>1806581</v>
      </c>
    </row>
    <row r="34" spans="1:2">
      <c r="A34" t="s">
        <v>54</v>
      </c>
      <c r="B34" s="14">
        <f>B10+B16+B20+B17+B18+B8</f>
        <v>1768350</v>
      </c>
    </row>
    <row r="35" spans="1:2">
      <c r="A35" t="s">
        <v>55</v>
      </c>
      <c r="B35" s="14">
        <f>B22+B25</f>
        <v>253983</v>
      </c>
    </row>
    <row r="36" spans="1:2">
      <c r="A36" t="s">
        <v>36</v>
      </c>
      <c r="B36" s="14">
        <f>B9</f>
        <v>468388</v>
      </c>
    </row>
    <row r="37" spans="1:2">
      <c r="A37" t="s">
        <v>57</v>
      </c>
      <c r="B37" s="14">
        <f>B19</f>
        <v>168915</v>
      </c>
    </row>
    <row r="38" spans="1:2">
      <c r="A38" t="s">
        <v>56</v>
      </c>
      <c r="B38" s="14">
        <f>B7+B12</f>
        <v>961831</v>
      </c>
    </row>
    <row r="39" spans="1:2">
      <c r="A39" t="s">
        <v>58</v>
      </c>
      <c r="B39" s="14">
        <f>B5+B15+B11+B21</f>
        <v>1786281</v>
      </c>
    </row>
  </sheetData>
  <mergeCells count="1">
    <mergeCell ref="A1:C1"/>
  </mergeCells>
  <pageMargins left="0.25" right="0.25" top="0.75" bottom="0.75" header="0.3" footer="0.3"/>
  <pageSetup scale="79"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4" workbookViewId="0">
      <selection activeCell="D29" sqref="D29"/>
    </sheetView>
  </sheetViews>
  <sheetFormatPr defaultRowHeight="15.75"/>
  <sheetData>
    <row r="1" spans="1:7" s="11" customFormat="1" ht="18.75">
      <c r="A1" s="21" t="s">
        <v>79</v>
      </c>
      <c r="B1" s="21"/>
      <c r="C1" s="21"/>
    </row>
    <row r="2" spans="1:7" s="11" customFormat="1">
      <c r="A2" s="25" t="s">
        <v>81</v>
      </c>
    </row>
    <row r="3" spans="1:7" s="11" customFormat="1">
      <c r="A3" s="25"/>
    </row>
    <row r="4" spans="1:7">
      <c r="A4" s="1699" t="s">
        <v>63</v>
      </c>
      <c r="B4" s="1700"/>
      <c r="C4" s="26"/>
      <c r="D4" s="1699" t="s">
        <v>64</v>
      </c>
      <c r="E4" s="1700"/>
      <c r="F4" s="7"/>
      <c r="G4" s="7"/>
    </row>
    <row r="5" spans="1:7">
      <c r="A5" s="27"/>
      <c r="B5" s="28" t="s">
        <v>82</v>
      </c>
      <c r="C5" s="27"/>
      <c r="D5" s="27"/>
      <c r="E5" s="28" t="s">
        <v>82</v>
      </c>
      <c r="F5" s="7"/>
      <c r="G5" s="7"/>
    </row>
    <row r="6" spans="1:7">
      <c r="A6" s="27" t="s">
        <v>65</v>
      </c>
      <c r="B6" s="29" t="s">
        <v>66</v>
      </c>
      <c r="C6" s="27"/>
      <c r="D6" s="27" t="s">
        <v>65</v>
      </c>
      <c r="E6" s="29" t="s">
        <v>66</v>
      </c>
      <c r="F6" s="7"/>
      <c r="G6" s="7"/>
    </row>
    <row r="7" spans="1:7">
      <c r="A7" s="27" t="s">
        <v>67</v>
      </c>
      <c r="B7" s="29" t="s">
        <v>66</v>
      </c>
      <c r="C7" s="27"/>
      <c r="D7" s="27" t="s">
        <v>67</v>
      </c>
      <c r="E7" s="29" t="s">
        <v>66</v>
      </c>
      <c r="F7" s="7"/>
      <c r="G7" s="7"/>
    </row>
    <row r="8" spans="1:7">
      <c r="A8" s="27" t="s">
        <v>68</v>
      </c>
      <c r="B8" s="29" t="s">
        <v>66</v>
      </c>
      <c r="C8" s="27"/>
      <c r="D8" s="27" t="s">
        <v>68</v>
      </c>
      <c r="E8" s="29" t="s">
        <v>66</v>
      </c>
      <c r="F8" s="7"/>
      <c r="G8" s="7"/>
    </row>
    <row r="9" spans="1:7">
      <c r="A9" s="27" t="s">
        <v>69</v>
      </c>
      <c r="B9" s="29" t="s">
        <v>66</v>
      </c>
      <c r="C9" s="27"/>
      <c r="D9" s="27" t="s">
        <v>69</v>
      </c>
      <c r="E9" s="29" t="s">
        <v>66</v>
      </c>
      <c r="F9" s="7"/>
      <c r="G9" s="7"/>
    </row>
    <row r="10" spans="1:7">
      <c r="A10" s="27" t="s">
        <v>70</v>
      </c>
      <c r="B10" s="29" t="s">
        <v>66</v>
      </c>
      <c r="C10" s="27"/>
      <c r="D10" s="27" t="s">
        <v>70</v>
      </c>
      <c r="E10" s="29" t="s">
        <v>66</v>
      </c>
      <c r="F10" s="7"/>
      <c r="G10" s="7"/>
    </row>
    <row r="11" spans="1:7">
      <c r="A11" s="27" t="s">
        <v>71</v>
      </c>
      <c r="B11" s="29" t="s">
        <v>66</v>
      </c>
      <c r="C11" s="27"/>
      <c r="D11" s="27" t="s">
        <v>71</v>
      </c>
      <c r="E11" s="29" t="s">
        <v>66</v>
      </c>
      <c r="F11" s="7"/>
      <c r="G11" s="7"/>
    </row>
    <row r="12" spans="1:7">
      <c r="A12" s="27" t="s">
        <v>72</v>
      </c>
      <c r="B12" s="29" t="s">
        <v>66</v>
      </c>
      <c r="C12" s="27"/>
      <c r="D12" s="27" t="s">
        <v>72</v>
      </c>
      <c r="E12" s="29" t="s">
        <v>66</v>
      </c>
      <c r="F12" s="7"/>
      <c r="G12" s="7"/>
    </row>
    <row r="13" spans="1:7">
      <c r="A13" s="27" t="s">
        <v>73</v>
      </c>
      <c r="B13" s="29" t="s">
        <v>66</v>
      </c>
      <c r="C13" s="27"/>
      <c r="D13" s="27" t="s">
        <v>73</v>
      </c>
      <c r="E13" s="29" t="s">
        <v>66</v>
      </c>
      <c r="F13" s="7"/>
      <c r="G13" s="7"/>
    </row>
    <row r="14" spans="1:7">
      <c r="A14" s="27" t="s">
        <v>74</v>
      </c>
      <c r="B14" s="30">
        <v>865</v>
      </c>
      <c r="C14" s="27"/>
      <c r="D14" s="27" t="s">
        <v>74</v>
      </c>
      <c r="E14" s="30">
        <v>1878</v>
      </c>
      <c r="F14" s="7"/>
      <c r="G14" s="7"/>
    </row>
    <row r="15" spans="1:7">
      <c r="A15" s="27" t="s">
        <v>75</v>
      </c>
      <c r="B15" s="30">
        <v>673</v>
      </c>
      <c r="C15" s="27"/>
      <c r="D15" s="27" t="s">
        <v>75</v>
      </c>
      <c r="E15" s="30">
        <v>1109</v>
      </c>
      <c r="F15" s="7"/>
      <c r="G15" s="7"/>
    </row>
    <row r="16" spans="1:7">
      <c r="A16" s="27" t="s">
        <v>76</v>
      </c>
      <c r="B16" s="30">
        <v>606</v>
      </c>
      <c r="C16" s="27"/>
      <c r="D16" s="27" t="s">
        <v>76</v>
      </c>
      <c r="E16" s="30">
        <v>871</v>
      </c>
      <c r="F16" s="7"/>
      <c r="G16" s="7"/>
    </row>
    <row r="17" spans="1:7">
      <c r="A17" s="27" t="s">
        <v>77</v>
      </c>
      <c r="B17" s="30">
        <v>591</v>
      </c>
      <c r="C17" s="27"/>
      <c r="D17" s="27" t="s">
        <v>77</v>
      </c>
      <c r="E17" s="30">
        <v>2072</v>
      </c>
      <c r="F17" s="7"/>
      <c r="G17" s="7"/>
    </row>
    <row r="18" spans="1:7" ht="16.5" thickBot="1">
      <c r="A18" s="31" t="s">
        <v>78</v>
      </c>
      <c r="B18" s="32">
        <v>2735</v>
      </c>
      <c r="C18" s="27"/>
      <c r="D18" s="31" t="s">
        <v>78</v>
      </c>
      <c r="E18" s="32">
        <v>5930</v>
      </c>
      <c r="F18" s="7"/>
      <c r="G18" s="7"/>
    </row>
    <row r="19" spans="1:7" ht="16.5" thickTop="1">
      <c r="A19" s="27"/>
      <c r="B19" s="27"/>
      <c r="C19" s="27"/>
      <c r="D19" s="27"/>
      <c r="E19" s="27"/>
      <c r="F19" s="7"/>
      <c r="G19" s="7"/>
    </row>
    <row r="20" spans="1:7">
      <c r="A20" s="7"/>
      <c r="B20" s="7"/>
      <c r="C20" s="7"/>
      <c r="D20" s="7"/>
      <c r="E20" s="7"/>
      <c r="F20" s="7"/>
      <c r="G20" s="7"/>
    </row>
    <row r="21" spans="1:7">
      <c r="A21" s="7" t="s">
        <v>80</v>
      </c>
      <c r="B21" s="7"/>
      <c r="C21" s="7"/>
      <c r="D21" s="7"/>
      <c r="E21" s="7"/>
      <c r="F21" s="7"/>
      <c r="G21" s="7"/>
    </row>
    <row r="22" spans="1:7">
      <c r="A22" s="7" t="s">
        <v>84</v>
      </c>
      <c r="B22" s="7"/>
      <c r="C22" s="7"/>
      <c r="D22" s="7"/>
      <c r="E22" s="7"/>
      <c r="F22" s="7"/>
      <c r="G22" s="7"/>
    </row>
    <row r="23" spans="1:7">
      <c r="A23" s="7"/>
      <c r="B23" s="7"/>
      <c r="C23" s="7"/>
      <c r="D23" s="7"/>
      <c r="E23" s="7"/>
      <c r="F23" s="7"/>
      <c r="G23" s="7"/>
    </row>
  </sheetData>
  <mergeCells count="2">
    <mergeCell ref="A4:B4"/>
    <mergeCell ref="D4:E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A18" sqref="A18"/>
    </sheetView>
  </sheetViews>
  <sheetFormatPr defaultRowHeight="15.75"/>
  <cols>
    <col min="1" max="2" width="9" style="11"/>
  </cols>
  <sheetData>
    <row r="1" spans="3:8" ht="20.25" thickBot="1">
      <c r="C1" s="22" t="s">
        <v>83</v>
      </c>
      <c r="D1" s="24"/>
      <c r="E1" s="24"/>
      <c r="F1" s="24"/>
      <c r="G1" s="23"/>
    </row>
    <row r="2" spans="3:8" ht="16.5" thickTop="1">
      <c r="C2" s="33" t="s">
        <v>81</v>
      </c>
      <c r="D2" s="34"/>
      <c r="E2" s="34"/>
      <c r="F2" s="34"/>
      <c r="G2" s="33"/>
      <c r="H2" s="7"/>
    </row>
    <row r="3" spans="3:8">
      <c r="C3" s="7"/>
      <c r="D3" s="7"/>
      <c r="E3" s="7"/>
      <c r="F3" s="7"/>
      <c r="G3" s="7"/>
      <c r="H3" s="7"/>
    </row>
    <row r="4" spans="3:8">
      <c r="C4" s="1701" t="s">
        <v>63</v>
      </c>
      <c r="D4" s="1702"/>
      <c r="E4" s="27"/>
      <c r="F4" s="1701" t="s">
        <v>64</v>
      </c>
      <c r="G4" s="1702"/>
      <c r="H4" s="7"/>
    </row>
    <row r="5" spans="3:8">
      <c r="C5" s="27"/>
      <c r="D5" s="28" t="s">
        <v>82</v>
      </c>
      <c r="E5" s="27"/>
      <c r="F5" s="27"/>
      <c r="G5" s="28" t="s">
        <v>82</v>
      </c>
      <c r="H5" s="7"/>
    </row>
    <row r="6" spans="3:8">
      <c r="C6" s="35" t="s">
        <v>65</v>
      </c>
      <c r="D6" s="36">
        <v>423</v>
      </c>
      <c r="E6" s="27"/>
      <c r="F6" s="35" t="s">
        <v>65</v>
      </c>
      <c r="G6" s="36">
        <v>4139</v>
      </c>
      <c r="H6" s="7"/>
    </row>
    <row r="7" spans="3:8">
      <c r="C7" s="35" t="s">
        <v>67</v>
      </c>
      <c r="D7" s="36">
        <v>2715</v>
      </c>
      <c r="E7" s="27"/>
      <c r="F7" s="35" t="s">
        <v>67</v>
      </c>
      <c r="G7" s="36">
        <v>35640</v>
      </c>
      <c r="H7" s="7"/>
    </row>
    <row r="8" spans="3:8">
      <c r="C8" s="35" t="s">
        <v>68</v>
      </c>
      <c r="D8" s="36">
        <v>3009</v>
      </c>
      <c r="E8" s="27"/>
      <c r="F8" s="35" t="s">
        <v>68</v>
      </c>
      <c r="G8" s="36">
        <v>45161</v>
      </c>
      <c r="H8" s="7"/>
    </row>
    <row r="9" spans="3:8">
      <c r="C9" s="35" t="s">
        <v>69</v>
      </c>
      <c r="D9" s="37">
        <v>2765</v>
      </c>
      <c r="E9" s="27"/>
      <c r="F9" s="35" t="s">
        <v>69</v>
      </c>
      <c r="G9" s="37">
        <v>41356</v>
      </c>
      <c r="H9" s="7"/>
    </row>
    <row r="10" spans="3:8">
      <c r="C10" s="35" t="s">
        <v>70</v>
      </c>
      <c r="D10" s="37">
        <v>2731</v>
      </c>
      <c r="E10" s="27"/>
      <c r="F10" s="35" t="s">
        <v>70</v>
      </c>
      <c r="G10" s="37">
        <v>43224</v>
      </c>
      <c r="H10" s="7"/>
    </row>
    <row r="11" spans="3:8">
      <c r="C11" s="35" t="s">
        <v>71</v>
      </c>
      <c r="D11" s="37">
        <v>1797</v>
      </c>
      <c r="E11" s="27"/>
      <c r="F11" s="35" t="s">
        <v>71</v>
      </c>
      <c r="G11" s="37">
        <v>27327</v>
      </c>
      <c r="H11" s="7"/>
    </row>
    <row r="12" spans="3:8">
      <c r="C12" s="35" t="s">
        <v>72</v>
      </c>
      <c r="D12" s="37">
        <v>2926</v>
      </c>
      <c r="E12" s="27"/>
      <c r="F12" s="35" t="s">
        <v>72</v>
      </c>
      <c r="G12" s="37">
        <v>49408</v>
      </c>
      <c r="H12" s="7"/>
    </row>
    <row r="13" spans="3:8">
      <c r="C13" s="35" t="s">
        <v>73</v>
      </c>
      <c r="D13" s="37">
        <v>3667</v>
      </c>
      <c r="E13" s="27"/>
      <c r="F13" s="35" t="s">
        <v>73</v>
      </c>
      <c r="G13" s="37">
        <v>47040</v>
      </c>
      <c r="H13" s="7"/>
    </row>
    <row r="14" spans="3:8">
      <c r="C14" s="35" t="s">
        <v>74</v>
      </c>
      <c r="D14" s="37">
        <v>3350</v>
      </c>
      <c r="E14" s="27"/>
      <c r="F14" s="35" t="s">
        <v>74</v>
      </c>
      <c r="G14" s="37">
        <v>39500</v>
      </c>
      <c r="H14" s="7"/>
    </row>
    <row r="15" spans="3:8">
      <c r="C15" s="35" t="s">
        <v>75</v>
      </c>
      <c r="D15" s="37">
        <v>2982</v>
      </c>
      <c r="E15" s="27"/>
      <c r="F15" s="35" t="s">
        <v>75</v>
      </c>
      <c r="G15" s="37">
        <v>37082</v>
      </c>
      <c r="H15" s="7"/>
    </row>
    <row r="16" spans="3:8">
      <c r="C16" s="35" t="s">
        <v>76</v>
      </c>
      <c r="D16" s="37">
        <v>4430</v>
      </c>
      <c r="E16" s="27"/>
      <c r="F16" s="35" t="s">
        <v>76</v>
      </c>
      <c r="G16" s="37">
        <v>64740</v>
      </c>
      <c r="H16" s="7"/>
    </row>
    <row r="17" spans="2:8">
      <c r="C17" s="35" t="s">
        <v>77</v>
      </c>
      <c r="D17" s="37">
        <v>1324</v>
      </c>
      <c r="E17" s="27"/>
      <c r="F17" s="35" t="s">
        <v>77</v>
      </c>
      <c r="G17" s="37">
        <v>14979</v>
      </c>
      <c r="H17" s="7"/>
    </row>
    <row r="18" spans="2:8" ht="16.5" thickBot="1">
      <c r="C18" s="31" t="s">
        <v>78</v>
      </c>
      <c r="D18" s="32">
        <v>32119</v>
      </c>
      <c r="E18" s="27"/>
      <c r="F18" s="31" t="s">
        <v>78</v>
      </c>
      <c r="G18" s="32">
        <v>449596</v>
      </c>
      <c r="H18" s="7"/>
    </row>
    <row r="19" spans="2:8" ht="16.5" thickTop="1">
      <c r="C19" s="7"/>
      <c r="D19" s="7"/>
      <c r="E19" s="7"/>
      <c r="F19" s="7"/>
      <c r="G19" s="7"/>
      <c r="H19" s="7"/>
    </row>
    <row r="20" spans="2:8">
      <c r="C20" s="7"/>
      <c r="D20" s="7"/>
      <c r="E20" s="7"/>
      <c r="F20" s="7"/>
      <c r="G20" s="7"/>
      <c r="H20" s="7"/>
    </row>
    <row r="21" spans="2:8">
      <c r="B21"/>
    </row>
    <row r="22" spans="2:8">
      <c r="B22"/>
    </row>
    <row r="23" spans="2:8">
      <c r="B23"/>
    </row>
    <row r="24" spans="2:8">
      <c r="B24"/>
    </row>
    <row r="25" spans="2:8">
      <c r="B25"/>
    </row>
    <row r="26" spans="2:8">
      <c r="B26"/>
    </row>
    <row r="27" spans="2:8">
      <c r="B27"/>
    </row>
    <row r="28" spans="2:8">
      <c r="B28"/>
    </row>
    <row r="29" spans="2:8">
      <c r="B29"/>
    </row>
    <row r="30" spans="2:8">
      <c r="B30"/>
    </row>
    <row r="31" spans="2:8">
      <c r="B31"/>
    </row>
    <row r="32" spans="2:8">
      <c r="B32"/>
    </row>
    <row r="33" spans="2:9">
      <c r="B33"/>
    </row>
    <row r="34" spans="2:9">
      <c r="B34"/>
    </row>
    <row r="35" spans="2:9">
      <c r="B35"/>
    </row>
    <row r="36" spans="2:9">
      <c r="B36"/>
    </row>
    <row r="37" spans="2:9">
      <c r="B37"/>
    </row>
    <row r="38" spans="2:9">
      <c r="B38"/>
    </row>
    <row r="39" spans="2:9">
      <c r="B39"/>
    </row>
    <row r="40" spans="2:9">
      <c r="B40"/>
    </row>
    <row r="41" spans="2:9">
      <c r="B41"/>
    </row>
    <row r="42" spans="2:9">
      <c r="B42"/>
    </row>
    <row r="43" spans="2:9">
      <c r="C43" s="7"/>
      <c r="D43" s="7"/>
      <c r="E43" s="7"/>
      <c r="F43" s="7"/>
      <c r="G43" s="7"/>
      <c r="H43" s="7"/>
      <c r="I43" s="7"/>
    </row>
  </sheetData>
  <mergeCells count="2">
    <mergeCell ref="C4:D4"/>
    <mergeCell ref="F4:G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topLeftCell="A7" zoomScale="90" zoomScaleNormal="90" workbookViewId="0">
      <selection activeCell="I5" sqref="I5"/>
    </sheetView>
  </sheetViews>
  <sheetFormatPr defaultRowHeight="15.75"/>
  <sheetData>
    <row r="1" spans="1:9" s="11" customFormat="1" ht="18.75">
      <c r="A1" s="5" t="s">
        <v>386</v>
      </c>
    </row>
    <row r="2" spans="1:9" s="11" customFormat="1"/>
    <row r="3" spans="1:9">
      <c r="A3" s="249" t="s">
        <v>283</v>
      </c>
    </row>
    <row r="4" spans="1:9">
      <c r="A4" s="234" t="s">
        <v>284</v>
      </c>
    </row>
    <row r="5" spans="1:9">
      <c r="A5" s="235" t="s">
        <v>285</v>
      </c>
      <c r="I5" s="249" t="s">
        <v>483</v>
      </c>
    </row>
    <row r="6" spans="1:9">
      <c r="A6" s="237" t="s">
        <v>286</v>
      </c>
      <c r="I6" s="235" t="s">
        <v>348</v>
      </c>
    </row>
    <row r="7" spans="1:9">
      <c r="A7" s="237" t="s">
        <v>287</v>
      </c>
      <c r="I7" s="237" t="s">
        <v>349</v>
      </c>
    </row>
    <row r="8" spans="1:9">
      <c r="A8" s="237" t="s">
        <v>288</v>
      </c>
      <c r="I8" s="237" t="s">
        <v>350</v>
      </c>
    </row>
    <row r="9" spans="1:9">
      <c r="A9" s="237" t="s">
        <v>289</v>
      </c>
      <c r="I9" s="236"/>
    </row>
    <row r="10" spans="1:9">
      <c r="A10" s="237" t="s">
        <v>290</v>
      </c>
      <c r="I10" s="237" t="s">
        <v>351</v>
      </c>
    </row>
    <row r="11" spans="1:9">
      <c r="A11" s="237" t="s">
        <v>291</v>
      </c>
      <c r="I11" s="237" t="s">
        <v>352</v>
      </c>
    </row>
    <row r="12" spans="1:9">
      <c r="A12" s="237" t="s">
        <v>292</v>
      </c>
      <c r="I12" s="237" t="s">
        <v>353</v>
      </c>
    </row>
    <row r="13" spans="1:9">
      <c r="A13" s="237" t="s">
        <v>293</v>
      </c>
      <c r="I13" s="237" t="s">
        <v>354</v>
      </c>
    </row>
    <row r="14" spans="1:9">
      <c r="A14" s="237" t="s">
        <v>294</v>
      </c>
      <c r="I14" s="237" t="s">
        <v>355</v>
      </c>
    </row>
    <row r="15" spans="1:9">
      <c r="A15" s="237" t="s">
        <v>295</v>
      </c>
      <c r="I15" s="237" t="s">
        <v>356</v>
      </c>
    </row>
    <row r="16" spans="1:9">
      <c r="A16" s="235" t="s">
        <v>55</v>
      </c>
      <c r="I16" s="237" t="s">
        <v>357</v>
      </c>
    </row>
    <row r="17" spans="1:9">
      <c r="A17" s="237" t="s">
        <v>296</v>
      </c>
      <c r="I17" s="237" t="s">
        <v>358</v>
      </c>
    </row>
    <row r="18" spans="1:9">
      <c r="A18" s="237" t="s">
        <v>297</v>
      </c>
      <c r="I18" s="237" t="s">
        <v>359</v>
      </c>
    </row>
    <row r="19" spans="1:9">
      <c r="A19" s="237" t="s">
        <v>298</v>
      </c>
      <c r="I19" s="237" t="s">
        <v>360</v>
      </c>
    </row>
    <row r="20" spans="1:9">
      <c r="A20" s="237" t="s">
        <v>299</v>
      </c>
      <c r="I20" s="237" t="s">
        <v>361</v>
      </c>
    </row>
    <row r="21" spans="1:9">
      <c r="A21" s="237" t="s">
        <v>300</v>
      </c>
      <c r="I21" s="237" t="s">
        <v>362</v>
      </c>
    </row>
    <row r="22" spans="1:9">
      <c r="A22" s="237" t="s">
        <v>301</v>
      </c>
      <c r="I22" s="237" t="s">
        <v>363</v>
      </c>
    </row>
    <row r="23" spans="1:9">
      <c r="A23" s="237" t="s">
        <v>302</v>
      </c>
      <c r="I23" s="237" t="s">
        <v>364</v>
      </c>
    </row>
    <row r="24" spans="1:9">
      <c r="A24" s="237" t="s">
        <v>303</v>
      </c>
      <c r="I24" s="237" t="s">
        <v>365</v>
      </c>
    </row>
    <row r="25" spans="1:9">
      <c r="A25" s="237" t="s">
        <v>304</v>
      </c>
    </row>
    <row r="26" spans="1:9">
      <c r="A26" s="237" t="s">
        <v>305</v>
      </c>
    </row>
    <row r="27" spans="1:9">
      <c r="A27" s="235" t="s">
        <v>306</v>
      </c>
    </row>
    <row r="28" spans="1:9">
      <c r="A28" s="237" t="s">
        <v>307</v>
      </c>
    </row>
    <row r="29" spans="1:9">
      <c r="A29" s="237" t="s">
        <v>308</v>
      </c>
    </row>
    <row r="30" spans="1:9">
      <c r="A30" s="237" t="s">
        <v>309</v>
      </c>
    </row>
    <row r="31" spans="1:9">
      <c r="A31" s="237" t="s">
        <v>310</v>
      </c>
    </row>
    <row r="32" spans="1:9">
      <c r="A32" s="237" t="s">
        <v>311</v>
      </c>
    </row>
    <row r="33" spans="1:1">
      <c r="A33" s="237" t="s">
        <v>312</v>
      </c>
    </row>
    <row r="34" spans="1:1">
      <c r="A34" s="237" t="s">
        <v>313</v>
      </c>
    </row>
    <row r="35" spans="1:1">
      <c r="A35" s="237" t="s">
        <v>314</v>
      </c>
    </row>
    <row r="36" spans="1:1">
      <c r="A36" s="237" t="s">
        <v>315</v>
      </c>
    </row>
    <row r="37" spans="1:1">
      <c r="A37" s="237" t="s">
        <v>316</v>
      </c>
    </row>
    <row r="38" spans="1:1">
      <c r="A38" s="235" t="s">
        <v>317</v>
      </c>
    </row>
    <row r="39" spans="1:1">
      <c r="A39" s="237" t="s">
        <v>318</v>
      </c>
    </row>
    <row r="40" spans="1:1">
      <c r="A40" s="237" t="s">
        <v>319</v>
      </c>
    </row>
    <row r="41" spans="1:1">
      <c r="A41" s="237" t="s">
        <v>320</v>
      </c>
    </row>
    <row r="42" spans="1:1">
      <c r="A42" s="237" t="s">
        <v>321</v>
      </c>
    </row>
    <row r="43" spans="1:1">
      <c r="A43" s="237" t="s">
        <v>322</v>
      </c>
    </row>
    <row r="44" spans="1:1">
      <c r="A44" s="237" t="s">
        <v>323</v>
      </c>
    </row>
    <row r="45" spans="1:1">
      <c r="A45" s="237" t="s">
        <v>324</v>
      </c>
    </row>
    <row r="46" spans="1:1">
      <c r="A46" s="237" t="s">
        <v>325</v>
      </c>
    </row>
    <row r="47" spans="1:1">
      <c r="A47" s="237" t="s">
        <v>326</v>
      </c>
    </row>
    <row r="48" spans="1:1">
      <c r="A48" s="237" t="s">
        <v>327</v>
      </c>
    </row>
    <row r="49" spans="1:1">
      <c r="A49" s="235" t="s">
        <v>328</v>
      </c>
    </row>
    <row r="50" spans="1:1">
      <c r="A50" s="237" t="s">
        <v>329</v>
      </c>
    </row>
    <row r="51" spans="1:1">
      <c r="A51" s="237" t="s">
        <v>330</v>
      </c>
    </row>
    <row r="52" spans="1:1">
      <c r="A52" s="237" t="s">
        <v>331</v>
      </c>
    </row>
    <row r="53" spans="1:1">
      <c r="A53" s="237" t="s">
        <v>332</v>
      </c>
    </row>
    <row r="54" spans="1:1">
      <c r="A54" s="237" t="s">
        <v>333</v>
      </c>
    </row>
    <row r="55" spans="1:1">
      <c r="A55" s="237" t="s">
        <v>334</v>
      </c>
    </row>
    <row r="56" spans="1:1">
      <c r="A56" s="237" t="s">
        <v>335</v>
      </c>
    </row>
    <row r="57" spans="1:1">
      <c r="A57" s="237" t="s">
        <v>336</v>
      </c>
    </row>
    <row r="58" spans="1:1">
      <c r="A58" s="237" t="s">
        <v>337</v>
      </c>
    </row>
    <row r="59" spans="1:1">
      <c r="A59" s="237" t="s">
        <v>338</v>
      </c>
    </row>
    <row r="60" spans="1:1">
      <c r="A60" s="235" t="s">
        <v>339</v>
      </c>
    </row>
    <row r="61" spans="1:1">
      <c r="A61" s="237" t="s">
        <v>329</v>
      </c>
    </row>
    <row r="62" spans="1:1">
      <c r="A62" s="237" t="s">
        <v>340</v>
      </c>
    </row>
    <row r="63" spans="1:1">
      <c r="A63" s="237" t="s">
        <v>341</v>
      </c>
    </row>
    <row r="64" spans="1:1">
      <c r="A64" s="237" t="s">
        <v>342</v>
      </c>
    </row>
    <row r="65" spans="1:1">
      <c r="A65" s="237" t="s">
        <v>343</v>
      </c>
    </row>
    <row r="66" spans="1:1">
      <c r="A66" s="237" t="s">
        <v>482</v>
      </c>
    </row>
    <row r="67" spans="1:1">
      <c r="A67" s="237" t="s">
        <v>344</v>
      </c>
    </row>
    <row r="68" spans="1:1">
      <c r="A68" s="237" t="s">
        <v>345</v>
      </c>
    </row>
    <row r="69" spans="1:1">
      <c r="A69" s="237" t="s">
        <v>346</v>
      </c>
    </row>
    <row r="70" spans="1:1">
      <c r="A70" s="237" t="s">
        <v>347</v>
      </c>
    </row>
  </sheetData>
  <hyperlinks>
    <hyperlink ref="A6" r:id="rId1" display="https://content.xap.com/media/19435/lesson_1_ce.pdf"/>
    <hyperlink ref="A7" r:id="rId2" display="https://content.xap.com/media/19438/lesson_2_ce.pdf"/>
    <hyperlink ref="A8" r:id="rId3" display="https://content.xap.com/media/19441/lesson_3_ce.pdf"/>
    <hyperlink ref="A9" r:id="rId4" display="https://content.xap.com/media/19444/lesson_4_ce.pdf"/>
    <hyperlink ref="A10" r:id="rId5" display="https://content.xap.com/media/19447/lesson_5_ce.pdf"/>
    <hyperlink ref="A11" r:id="rId6" display="https://content.xap.com/media/19450/lesson_6_ce.pdf"/>
    <hyperlink ref="A12" r:id="rId7" display="https://content.xap.com/media/19453/lesson_7_ce.pdf"/>
    <hyperlink ref="A13" r:id="rId8" display="https://content.xap.com/media/19456/lesson_8_ce.pdf"/>
    <hyperlink ref="A14" r:id="rId9" display="https://content.xap.com/media/19459/lesson_9_ce.pdf"/>
    <hyperlink ref="A15" r:id="rId10" display="https://content.xap.com/media/19462/lesson_10_ce.pdf"/>
    <hyperlink ref="A17" r:id="rId11" display="https://content.xap.com/media/19338/cic_postsecondary_planning_lesson_1.pdf"/>
    <hyperlink ref="A18" r:id="rId12" display="https://content.xap.com/media/19341/cic_postsecondary_planning_lesson_2.pdf"/>
    <hyperlink ref="A19" r:id="rId13" display="https://content.xap.com/media/19344/cic_postsecondary_planning_lesson_3.pdf"/>
    <hyperlink ref="A20" r:id="rId14" display="https://content.xap.com/media/19347/cic_postsecondary_planning_lesson_4.pdf"/>
    <hyperlink ref="A21" r:id="rId15" display="https://content.xap.com/media/19350/cic_postsecondary_planning_lesson_5.pdf"/>
    <hyperlink ref="A22" r:id="rId16" display="https://content.xap.com/media/19353/cic_postsecondary_planning_lesson_6.pdf"/>
    <hyperlink ref="A23" r:id="rId17" display="https://content.xap.com/media/19356/cic_postsecondary_planning_lesson_7.pdf"/>
    <hyperlink ref="A24" r:id="rId18" display="https://content.xap.com/media/19359/cic_postsecondary_planning_lesson_8.pdf"/>
    <hyperlink ref="A25" r:id="rId19" display="https://content.xap.com/media/19362/cic_postsecondary_planning_lesson_9.pdf"/>
    <hyperlink ref="A26" r:id="rId20" display="https://content.xap.com/media/19365/cic_postsecondary_planning_lesson_10.pdf"/>
    <hyperlink ref="A28" r:id="rId21" display="https://content.xap.com/media/19248/cic_high_school_academic_planning_lesson_1.pdf"/>
    <hyperlink ref="A29" r:id="rId22" display="https://content.xap.com/media/19251/cic_high_school_academic_planning_lesson_2.pdf"/>
    <hyperlink ref="A30" r:id="rId23" display="https://content.xap.com/media/19254/cic_high_school_academic_planning_lesson_3.pdf"/>
    <hyperlink ref="A31" r:id="rId24" display="https://content.xap.com/media/19257/cic_high_school_academic_planning_lesson_4.pdf"/>
    <hyperlink ref="A32" r:id="rId25" display="https://content.xap.com/media/19260/cic_high_school_academic_planning_lesson_5.pdf"/>
    <hyperlink ref="A33" r:id="rId26" display="https://content.xap.com/media/19263/cic_high_school_academic_planning_lesson_6.pdf"/>
    <hyperlink ref="A34" r:id="rId27" display="https://content.xap.com/media/19266/cic_high_school_academic_planning_lesson_7.pdf"/>
    <hyperlink ref="A35" r:id="rId28" display="https://content.xap.com/media/19269/cic_high_school_academic_planning_lesson_8.pdf"/>
    <hyperlink ref="A36" r:id="rId29" display="https://content.xap.com/media/19272/cic_high_school_academic_planning_lesson_9.pdf"/>
    <hyperlink ref="A37" r:id="rId30" display="https://content.xap.com/media/19275/cic_high_school_academic_planning_lesson_10.pdf"/>
    <hyperlink ref="A39" r:id="rId31" display="https://content.xap.com/media/19211/cic_financial_aid_planning_lesson_1.pdf"/>
    <hyperlink ref="A40" r:id="rId32" display="https://content.xap.com/media/19214/cic_financial_aid_planning_lesson_2.pdf"/>
    <hyperlink ref="A41" r:id="rId33" display="https://content.xap.com/media/19217/cic_financial_aid_planning_lesson_3.pdf"/>
    <hyperlink ref="A42" r:id="rId34" display="https://content.xap.com/media/19220/cic_financial_aid_planning_lesson_4.pdf"/>
    <hyperlink ref="A43" r:id="rId35" display="https://content.xap.com/media/19223/lesson_plan_fap5_fafsaiskey2016.pdf"/>
    <hyperlink ref="A44" r:id="rId36" display="https://content.xap.com/media/19226/cic_financial_aid_planning_lesson_6.pdf"/>
    <hyperlink ref="A45" r:id="rId37" display="https://content.xap.com/media/19229/cic_financial_aid_planning_lesson_7.pdf"/>
    <hyperlink ref="A46" r:id="rId38" display="https://content.xap.com/media/19232/cic_financial_aid_planning_lesson_8.pdf"/>
    <hyperlink ref="A47" r:id="rId39" display="https://content.xap.com/media/19235/cic_financial_aid_planning_lesson_9.pdf"/>
    <hyperlink ref="A48" r:id="rId40" display="https://content.xap.com/media/19238/cic_financial_aid_planning_lesson_10.pdf"/>
    <hyperlink ref="A50" r:id="rId41" display="https://content.xap.com/media/19278/cic_job_search_lesson_1.pdf"/>
    <hyperlink ref="A51" r:id="rId42" display="https://content.xap.com/media/19281/cic_job_search_lesson_2.pdf"/>
    <hyperlink ref="A52" r:id="rId43" display="https://content.xap.com/media/19284/cic_job_search_lesson_3.pdf"/>
    <hyperlink ref="A53" r:id="rId44" display="https://content.xap.com/media/19287/cic_job_search_lesson_4.pdf"/>
    <hyperlink ref="A54" r:id="rId45" display="https://content.xap.com/media/19290/cic_job_search_lesson_5.pdf"/>
    <hyperlink ref="A55" r:id="rId46" display="https://content.xap.com/media/19293/cic_job_search_lesson_6.pdf"/>
    <hyperlink ref="A56" r:id="rId47" display="https://content.xap.com/media/19296/cic_job_search_lesson_7.pdf"/>
    <hyperlink ref="A57" r:id="rId48" display="https://content.xap.com/media/19299/cic_job_search_lesson_8.pdf"/>
    <hyperlink ref="A58" r:id="rId49" display="https://content.xap.com/media/19302/cic_job_search__lesson_9.pdf"/>
    <hyperlink ref="A59" r:id="rId50" display="https://content.xap.com/media/19305/cic_job_search_lesson_10.pdf"/>
    <hyperlink ref="A61" r:id="rId51" display="https://content.xap.com/media/19308/cic_lifelong_portfolio_lesson_1.pdf"/>
    <hyperlink ref="A62" r:id="rId52" display="https://content.xap.com/media/19311/cic_lifelong_portfolio_lesson_2.pdf"/>
    <hyperlink ref="A63" r:id="rId53" display="https://content.xap.com/media/19314/cic_lifelong_portfolio_lesson_3.pdf"/>
    <hyperlink ref="A64" r:id="rId54" display="https://content.xap.com/media/19317/cic_lifelong_portfolio_lesson_4.pdf"/>
    <hyperlink ref="A65" r:id="rId55" display="https://content.xap.com/media/19320/cic_lifelong_portfolio_lesson_5.pdf"/>
    <hyperlink ref="A66" r:id="rId56" display="https://content.xap.com/media/19323/cic_lifelong_portfolio_lesson_6.pdf"/>
    <hyperlink ref="A67" r:id="rId57" display="https://content.xap.com/media/19326/cic_lifelong_portfolio_lesson_7.pdf"/>
    <hyperlink ref="A68" r:id="rId58" display="https://content.xap.com/media/19329/cic_job_search_lesson_8.pdf"/>
    <hyperlink ref="A69" r:id="rId59" display="https://content.xap.com/media/19332/cic_lifelong_portfolio_lesson_9.pdf"/>
    <hyperlink ref="A70" r:id="rId60" display="https://content.xap.com/media/19335/cic_lifelong_portfolio_lesson_10.pdf"/>
    <hyperlink ref="I7" r:id="rId61" display="https://content.xap.com/media/19429/more_successful_transition_guide_intro_transitions-1.pdf"/>
    <hyperlink ref="I8" r:id="rId62" display="https://content.xap.com/media/19375/20_top_questions_and_ways_to_answer_them_cic.pdf"/>
    <hyperlink ref="I10" r:id="rId63" display="https://content.xap.com/media/19378/cic_tpg_worksheet_01.pdf"/>
    <hyperlink ref="I11" r:id="rId64" display="https://content.xap.com/media/19381/cic_tpg_worksheet_02__2_.pdf"/>
    <hyperlink ref="I12" r:id="rId65" display="https://content.xap.com/media/19384/cic_tpg_worksheet_03.pdf"/>
    <hyperlink ref="I13" r:id="rId66" display="https://content.xap.com/media/19387/cic_tpg_worksheet_04__2_.pdf"/>
    <hyperlink ref="I14" r:id="rId67" display="https://content.xap.com/media/19390/cic_tpg_worksheet_05.pdf"/>
    <hyperlink ref="I15" r:id="rId68" display="https://content.xap.com/media/19393/cic_tpg_worksheet_06.pdf"/>
    <hyperlink ref="I16" r:id="rId69" display="https://content.xap.com/media/19396/cic_tpg_worksheet_07.pdf"/>
    <hyperlink ref="I17" r:id="rId70" display="https://content.xap.com/media/19399/cic_tpg_worksheet_08.pdf"/>
    <hyperlink ref="I18" r:id="rId71" display="https://content.xap.com/media/19402/cic_tpg_worksheet_09.pdf"/>
    <hyperlink ref="I19" r:id="rId72" display="https://content.xap.com/media/19405/cic_tpg_worksheet_10.pdf"/>
    <hyperlink ref="I20" r:id="rId73" display="https://content.xap.com/media/19408/cic_tpg_worksheet_11.pdf"/>
    <hyperlink ref="I21" r:id="rId74" display="https://content.xap.com/media/19411/cic_tpg_worksheet_12.pdf"/>
    <hyperlink ref="I22" r:id="rId75" display="https://content.xap.com/media/19414/cic_tpg_worksheet_13.pdf"/>
    <hyperlink ref="I23" r:id="rId76" display="https://content.xap.com/media/19417/cic_tpg_worksheet_14.pdf"/>
    <hyperlink ref="I24" r:id="rId77" display="https://content.xap.com/media/19420/tpg_worksheet_15.pdf"/>
  </hyperlinks>
  <pageMargins left="0.25" right="0.25" top="0.75" bottom="0.75" header="0.3" footer="0.3"/>
  <pageSetup scale="69" fitToHeight="0" orientation="portrait" r:id="rId78"/>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opLeftCell="A4" zoomScale="80" zoomScaleNormal="80" workbookViewId="0">
      <selection activeCell="C32" sqref="C32"/>
    </sheetView>
  </sheetViews>
  <sheetFormatPr defaultRowHeight="15.75"/>
  <cols>
    <col min="12" max="12" width="6.5" customWidth="1"/>
    <col min="13" max="13" width="6.75" customWidth="1"/>
    <col min="14" max="14" width="18.875" customWidth="1"/>
    <col min="15" max="15" width="12" bestFit="1" customWidth="1"/>
  </cols>
  <sheetData>
    <row r="1" spans="1:17" s="11" customFormat="1" ht="18.75">
      <c r="A1" s="5" t="s">
        <v>385</v>
      </c>
      <c r="B1" s="5"/>
      <c r="C1" s="5"/>
    </row>
    <row r="2" spans="1:17" s="11" customFormat="1" ht="18.75">
      <c r="A2" s="5"/>
      <c r="B2" s="5"/>
      <c r="C2" s="5"/>
    </row>
    <row r="3" spans="1:17" s="11" customFormat="1"/>
    <row r="4" spans="1:17">
      <c r="K4" s="248"/>
    </row>
    <row r="5" spans="1:17">
      <c r="K5" s="248"/>
      <c r="L5" t="s">
        <v>379</v>
      </c>
      <c r="O5" s="241">
        <v>468145</v>
      </c>
    </row>
    <row r="6" spans="1:17">
      <c r="K6" s="248"/>
    </row>
    <row r="7" spans="1:17">
      <c r="K7" s="248"/>
      <c r="L7" s="245" t="s">
        <v>378</v>
      </c>
      <c r="M7" s="11"/>
      <c r="N7" s="11"/>
    </row>
    <row r="8" spans="1:17">
      <c r="K8" s="248"/>
      <c r="L8" s="240">
        <v>2.3E-2</v>
      </c>
      <c r="N8" s="11" t="s">
        <v>372</v>
      </c>
      <c r="O8" s="241">
        <v>10530</v>
      </c>
    </row>
    <row r="9" spans="1:17">
      <c r="K9" s="248"/>
    </row>
    <row r="10" spans="1:17">
      <c r="K10" s="248"/>
    </row>
    <row r="11" spans="1:17">
      <c r="K11" s="248"/>
    </row>
    <row r="12" spans="1:17">
      <c r="K12" s="248"/>
      <c r="L12" s="11" t="s">
        <v>368</v>
      </c>
      <c r="M12" s="11"/>
      <c r="N12" s="11"/>
      <c r="O12" s="11">
        <v>2015</v>
      </c>
      <c r="P12" s="11"/>
      <c r="Q12" s="11"/>
    </row>
    <row r="13" spans="1:17">
      <c r="K13" s="248"/>
      <c r="L13" s="11" t="s">
        <v>369</v>
      </c>
      <c r="M13" s="11"/>
      <c r="N13" s="11"/>
      <c r="O13" s="14">
        <v>53128</v>
      </c>
      <c r="P13" s="11"/>
      <c r="Q13" s="11"/>
    </row>
    <row r="14" spans="1:17">
      <c r="K14" s="248"/>
      <c r="L14" s="11" t="s">
        <v>370</v>
      </c>
      <c r="M14" s="11"/>
      <c r="N14" s="11"/>
      <c r="O14" s="14">
        <v>30042</v>
      </c>
      <c r="P14" s="11"/>
      <c r="Q14" s="11"/>
    </row>
    <row r="15" spans="1:17">
      <c r="K15" s="248"/>
      <c r="L15" s="13" t="s">
        <v>371</v>
      </c>
      <c r="M15" s="11"/>
      <c r="N15" s="11"/>
      <c r="O15" s="241">
        <f>O13-O14</f>
        <v>23086</v>
      </c>
      <c r="P15" s="239"/>
      <c r="Q15" s="11"/>
    </row>
    <row r="16" spans="1:17">
      <c r="K16" s="248"/>
      <c r="L16" s="11"/>
      <c r="M16" s="11"/>
      <c r="N16" s="11"/>
      <c r="O16" s="11"/>
      <c r="P16" s="11"/>
      <c r="Q16" s="11"/>
    </row>
    <row r="17" spans="1:17">
      <c r="K17" s="248"/>
      <c r="L17" s="11"/>
      <c r="M17" s="11"/>
      <c r="N17" s="11"/>
      <c r="O17" s="11"/>
      <c r="P17" s="11"/>
      <c r="Q17" s="11"/>
    </row>
    <row r="18" spans="1:17">
      <c r="K18" s="248"/>
      <c r="L18" s="11"/>
      <c r="M18" s="11"/>
      <c r="N18" s="11"/>
      <c r="O18" s="11"/>
      <c r="P18" s="11"/>
      <c r="Q18" s="11"/>
    </row>
    <row r="19" spans="1:17">
      <c r="K19" s="248"/>
      <c r="L19" s="11" t="s">
        <v>373</v>
      </c>
      <c r="M19" s="11"/>
      <c r="N19" s="11"/>
      <c r="O19" s="11"/>
      <c r="P19" s="242">
        <v>0.30599999999999999</v>
      </c>
      <c r="Q19" s="11"/>
    </row>
    <row r="20" spans="1:17">
      <c r="K20" s="248"/>
      <c r="L20" s="13" t="s">
        <v>376</v>
      </c>
      <c r="M20" s="11"/>
      <c r="N20" s="11"/>
      <c r="O20" s="243">
        <f>O14*0.69</f>
        <v>20728.98</v>
      </c>
      <c r="P20" s="242">
        <f>1-P19</f>
        <v>0.69399999999999995</v>
      </c>
      <c r="Q20" s="11"/>
    </row>
    <row r="21" spans="1:17">
      <c r="K21" s="248"/>
      <c r="L21" s="11"/>
      <c r="M21" s="11"/>
      <c r="N21" s="11"/>
      <c r="O21" s="11"/>
      <c r="P21" s="11"/>
      <c r="Q21" s="11"/>
    </row>
    <row r="22" spans="1:17">
      <c r="K22" s="248"/>
      <c r="L22" s="11"/>
      <c r="M22" s="11"/>
      <c r="N22" s="11"/>
      <c r="O22" s="11"/>
      <c r="P22" s="11"/>
      <c r="Q22" s="11"/>
    </row>
    <row r="23" spans="1:17">
      <c r="K23" s="248"/>
      <c r="L23" s="11"/>
      <c r="M23" s="11"/>
      <c r="N23" s="11"/>
      <c r="O23" s="11"/>
      <c r="P23" s="11"/>
      <c r="Q23" s="11"/>
    </row>
    <row r="24" spans="1:17">
      <c r="K24" s="248"/>
      <c r="L24" s="11" t="s">
        <v>380</v>
      </c>
      <c r="M24" s="11"/>
      <c r="N24" s="11"/>
      <c r="O24" s="11"/>
      <c r="P24" s="11"/>
      <c r="Q24" s="11"/>
    </row>
    <row r="25" spans="1:17">
      <c r="K25" s="248"/>
      <c r="L25" s="244" t="s">
        <v>377</v>
      </c>
      <c r="M25" s="11"/>
      <c r="N25" s="11"/>
      <c r="O25" s="11"/>
      <c r="P25" s="11"/>
      <c r="Q25" s="11"/>
    </row>
    <row r="26" spans="1:17">
      <c r="K26" s="248"/>
      <c r="L26" s="1703" t="s">
        <v>366</v>
      </c>
      <c r="M26" s="1703"/>
      <c r="N26" s="11"/>
      <c r="O26" s="18" t="s">
        <v>367</v>
      </c>
      <c r="P26" s="262"/>
      <c r="Q26" s="262"/>
    </row>
    <row r="27" spans="1:17">
      <c r="K27" s="248"/>
      <c r="L27" s="11">
        <v>2015</v>
      </c>
      <c r="M27" s="11">
        <v>2016</v>
      </c>
      <c r="N27" s="11">
        <v>2015</v>
      </c>
      <c r="O27" s="11">
        <v>2016</v>
      </c>
      <c r="P27" s="11"/>
      <c r="Q27" s="11"/>
    </row>
    <row r="28" spans="1:17">
      <c r="K28" s="248"/>
      <c r="L28" s="14">
        <v>2723</v>
      </c>
      <c r="M28" s="14">
        <v>2795</v>
      </c>
      <c r="N28" s="11">
        <v>111</v>
      </c>
      <c r="O28" s="11">
        <v>96</v>
      </c>
      <c r="P28" s="11"/>
      <c r="Q28" s="11"/>
    </row>
    <row r="29" spans="1:17">
      <c r="K29" s="248"/>
      <c r="L29" s="11"/>
      <c r="M29" s="11"/>
      <c r="N29" s="247"/>
      <c r="O29" s="246">
        <v>96000</v>
      </c>
      <c r="P29" s="247"/>
      <c r="Q29" s="11"/>
    </row>
    <row r="30" spans="1:17">
      <c r="K30" s="248"/>
      <c r="L30" s="11"/>
      <c r="M30" s="11"/>
      <c r="N30" s="11"/>
      <c r="O30" s="11"/>
      <c r="P30" s="11"/>
      <c r="Q30" s="11"/>
    </row>
    <row r="31" spans="1:17">
      <c r="K31" s="248"/>
      <c r="L31" s="13" t="s">
        <v>452</v>
      </c>
      <c r="M31" s="11"/>
      <c r="N31" s="11"/>
      <c r="O31" s="241">
        <v>18000</v>
      </c>
      <c r="P31" s="11"/>
      <c r="Q31" s="11"/>
    </row>
    <row r="32" spans="1:17">
      <c r="A32" t="s">
        <v>374</v>
      </c>
      <c r="B32" t="s">
        <v>375</v>
      </c>
      <c r="C32" s="241">
        <v>391725</v>
      </c>
      <c r="K32" s="248"/>
      <c r="L32" s="11"/>
      <c r="M32" s="11"/>
      <c r="N32" s="11"/>
      <c r="O32" s="11"/>
      <c r="P32" s="11"/>
      <c r="Q32" s="11"/>
    </row>
    <row r="33" spans="3:17" s="11" customFormat="1">
      <c r="C33" s="241"/>
      <c r="K33" t="s">
        <v>382</v>
      </c>
      <c r="L33" s="11" t="s">
        <v>381</v>
      </c>
    </row>
    <row r="34" spans="3:17" s="11" customFormat="1">
      <c r="C34" s="241"/>
      <c r="K34" s="265"/>
      <c r="N34" s="266" t="s">
        <v>453</v>
      </c>
      <c r="O34" s="238" t="s">
        <v>384</v>
      </c>
    </row>
    <row r="35" spans="3:17">
      <c r="L35" s="11"/>
      <c r="M35" s="11"/>
      <c r="N35" s="11"/>
      <c r="O35" s="11"/>
      <c r="P35" s="11"/>
      <c r="Q35" s="11"/>
    </row>
    <row r="36" spans="3:17">
      <c r="L36" s="11"/>
      <c r="M36" s="11"/>
      <c r="N36" s="13" t="s">
        <v>383</v>
      </c>
      <c r="O36" s="264">
        <f>O29+O20+O15+O8+O5+O31</f>
        <v>636489.98</v>
      </c>
      <c r="P36" s="11"/>
      <c r="Q36" s="11"/>
    </row>
    <row r="37" spans="3:17">
      <c r="L37" s="11"/>
      <c r="M37" s="11"/>
      <c r="N37" s="11"/>
      <c r="O37" s="11"/>
      <c r="P37" s="11"/>
      <c r="Q37" s="11"/>
    </row>
    <row r="38" spans="3:17">
      <c r="M38">
        <v>2015</v>
      </c>
      <c r="N38" t="s">
        <v>426</v>
      </c>
      <c r="O38" s="14">
        <v>5456584</v>
      </c>
    </row>
    <row r="39" spans="3:17">
      <c r="O39" s="256">
        <f>O36/O38</f>
        <v>0.11664623508040928</v>
      </c>
    </row>
  </sheetData>
  <mergeCells count="1">
    <mergeCell ref="L26:M26"/>
  </mergeCells>
  <pageMargins left="0.25" right="0.25" top="0.75" bottom="0.75" header="0.3" footer="0.3"/>
  <pageSetup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90" zoomScaleNormal="90" workbookViewId="0">
      <selection activeCell="R10" sqref="R10"/>
    </sheetView>
  </sheetViews>
  <sheetFormatPr defaultRowHeight="15"/>
  <cols>
    <col min="1" max="1" width="22.875" style="606" customWidth="1"/>
    <col min="2" max="3" width="9.375" style="606" customWidth="1"/>
    <col min="4" max="4" width="2.125" style="606" customWidth="1"/>
    <col min="5" max="5" width="10.25" style="606" customWidth="1"/>
    <col min="6" max="11" width="9.375" style="606" customWidth="1"/>
    <col min="12" max="12" width="10" style="606" customWidth="1"/>
    <col min="13" max="15" width="9.375" style="606" customWidth="1"/>
    <col min="16" max="16" width="9.125" style="606" customWidth="1"/>
    <col min="17" max="16384" width="9" style="606"/>
  </cols>
  <sheetData>
    <row r="1" spans="1:17" ht="23.25">
      <c r="A1" s="605" t="s">
        <v>870</v>
      </c>
    </row>
    <row r="2" spans="1:17">
      <c r="A2" s="607" t="s">
        <v>871</v>
      </c>
    </row>
    <row r="4" spans="1:17" ht="15.75" thickBot="1"/>
    <row r="5" spans="1:17" ht="36" thickTop="1" thickBot="1">
      <c r="A5" s="608" t="s">
        <v>872</v>
      </c>
      <c r="B5" s="609" t="s">
        <v>873</v>
      </c>
      <c r="C5" s="609" t="s">
        <v>874</v>
      </c>
      <c r="D5" s="610"/>
      <c r="E5" s="1467" t="s">
        <v>875</v>
      </c>
      <c r="F5" s="1468"/>
      <c r="G5" s="1468"/>
      <c r="H5" s="1468"/>
      <c r="I5" s="1468"/>
      <c r="J5" s="1468"/>
      <c r="K5" s="1468"/>
      <c r="L5" s="1468"/>
      <c r="M5" s="1468"/>
      <c r="N5" s="1468"/>
      <c r="O5" s="1468"/>
      <c r="P5" s="1469"/>
      <c r="Q5" s="611"/>
    </row>
    <row r="6" spans="1:17" ht="15.75" thickTop="1">
      <c r="A6" s="612" t="s">
        <v>876</v>
      </c>
      <c r="B6" s="613"/>
      <c r="C6" s="614"/>
      <c r="D6" s="614"/>
      <c r="E6" s="615"/>
      <c r="F6" s="615"/>
      <c r="G6" s="615"/>
      <c r="H6" s="615"/>
      <c r="I6" s="615"/>
      <c r="J6" s="615"/>
      <c r="K6" s="615"/>
      <c r="L6" s="615"/>
      <c r="M6" s="615"/>
      <c r="N6" s="615"/>
      <c r="O6" s="615"/>
      <c r="P6" s="616"/>
      <c r="Q6" s="611"/>
    </row>
    <row r="7" spans="1:17" ht="45" customHeight="1">
      <c r="A7" s="617" t="s">
        <v>877</v>
      </c>
      <c r="B7" s="618"/>
      <c r="C7" s="618"/>
      <c r="D7" s="619"/>
      <c r="E7" s="618"/>
      <c r="F7" s="618"/>
      <c r="G7" s="618"/>
      <c r="H7" s="620" t="s">
        <v>1466</v>
      </c>
      <c r="I7" s="618"/>
      <c r="J7" s="620" t="s">
        <v>1467</v>
      </c>
      <c r="K7" s="618"/>
      <c r="L7" s="620" t="s">
        <v>878</v>
      </c>
      <c r="M7" s="618"/>
      <c r="N7" s="621"/>
      <c r="O7" s="622" t="s">
        <v>1465</v>
      </c>
      <c r="P7" s="623"/>
      <c r="Q7" s="611"/>
    </row>
    <row r="8" spans="1:17" ht="45" customHeight="1">
      <c r="A8" s="624" t="s">
        <v>1443</v>
      </c>
      <c r="B8" s="625"/>
      <c r="C8" s="626" t="s">
        <v>879</v>
      </c>
      <c r="D8" s="627"/>
      <c r="E8" s="625"/>
      <c r="F8" s="625"/>
      <c r="G8" s="625"/>
      <c r="H8" s="628"/>
      <c r="I8" s="629" t="s">
        <v>1444</v>
      </c>
      <c r="J8" s="625"/>
      <c r="K8" s="625"/>
      <c r="L8" s="625"/>
      <c r="M8" s="625"/>
      <c r="N8" s="625"/>
      <c r="O8" s="630"/>
      <c r="P8" s="623"/>
      <c r="Q8" s="611"/>
    </row>
    <row r="9" spans="1:17" ht="45" customHeight="1">
      <c r="A9" s="632" t="s">
        <v>1469</v>
      </c>
      <c r="B9" s="625"/>
      <c r="C9" s="625"/>
      <c r="D9" s="631"/>
      <c r="E9" s="625"/>
      <c r="F9" s="625"/>
      <c r="G9" s="628"/>
      <c r="H9" s="628"/>
      <c r="I9" s="625"/>
      <c r="J9" s="625"/>
      <c r="K9" s="629" t="s">
        <v>880</v>
      </c>
      <c r="L9" s="625"/>
      <c r="M9" s="625"/>
      <c r="N9" s="625"/>
      <c r="O9" s="630"/>
      <c r="P9" s="623"/>
      <c r="Q9" s="611"/>
    </row>
    <row r="10" spans="1:17" ht="45" customHeight="1">
      <c r="A10" s="632" t="s">
        <v>1445</v>
      </c>
      <c r="B10" s="625"/>
      <c r="C10" s="625"/>
      <c r="D10" s="631"/>
      <c r="E10" s="629" t="s">
        <v>881</v>
      </c>
      <c r="F10" s="625"/>
      <c r="G10" s="625"/>
      <c r="H10" s="625"/>
      <c r="I10" s="625"/>
      <c r="J10" s="625"/>
      <c r="K10" s="625"/>
      <c r="L10" s="625"/>
      <c r="M10" s="625"/>
      <c r="N10" s="625"/>
      <c r="O10" s="630"/>
      <c r="P10" s="623"/>
      <c r="Q10" s="611"/>
    </row>
    <row r="11" spans="1:17" ht="45" customHeight="1">
      <c r="A11" s="632" t="s">
        <v>882</v>
      </c>
      <c r="B11" s="628"/>
      <c r="C11" s="628"/>
      <c r="D11" s="633"/>
      <c r="E11" s="628"/>
      <c r="F11" s="628"/>
      <c r="G11" s="628"/>
      <c r="H11" s="628"/>
      <c r="I11" s="625"/>
      <c r="J11" s="625"/>
      <c r="K11" s="625"/>
      <c r="L11" s="625"/>
      <c r="N11" s="629" t="s">
        <v>883</v>
      </c>
      <c r="O11" s="630"/>
      <c r="P11" s="623"/>
      <c r="Q11" s="611"/>
    </row>
    <row r="12" spans="1:17" ht="45" customHeight="1">
      <c r="A12" s="632" t="s">
        <v>884</v>
      </c>
      <c r="B12" s="625"/>
      <c r="C12" s="625"/>
      <c r="D12" s="631"/>
      <c r="E12" s="625"/>
      <c r="F12" s="625"/>
      <c r="G12" s="629" t="s">
        <v>885</v>
      </c>
      <c r="H12" s="625"/>
      <c r="I12" s="625"/>
      <c r="J12" s="625"/>
      <c r="K12" s="625"/>
      <c r="L12" s="625"/>
      <c r="M12" s="625"/>
      <c r="N12" s="625"/>
      <c r="O12" s="630"/>
      <c r="P12" s="623"/>
      <c r="Q12" s="611"/>
    </row>
    <row r="13" spans="1:17" ht="59.25" customHeight="1">
      <c r="A13" s="632" t="s">
        <v>1632</v>
      </c>
      <c r="B13" s="625"/>
      <c r="C13" s="625"/>
      <c r="D13" s="631"/>
      <c r="E13" s="625"/>
      <c r="F13" s="629" t="s">
        <v>886</v>
      </c>
      <c r="G13" s="625"/>
      <c r="H13" s="625"/>
      <c r="I13" s="625"/>
      <c r="J13" s="625"/>
      <c r="K13" s="625"/>
      <c r="L13" s="625"/>
      <c r="M13" s="625"/>
      <c r="N13" s="625"/>
      <c r="O13" s="630"/>
      <c r="P13" s="623"/>
      <c r="Q13" s="611"/>
    </row>
    <row r="14" spans="1:17" ht="45" customHeight="1">
      <c r="A14" s="632" t="s">
        <v>887</v>
      </c>
      <c r="B14" s="628"/>
      <c r="C14" s="628"/>
      <c r="D14" s="633"/>
      <c r="E14" s="628"/>
      <c r="F14" s="628"/>
      <c r="G14" s="628"/>
      <c r="H14" s="628"/>
      <c r="I14" s="628"/>
      <c r="J14" s="628"/>
      <c r="K14" s="628"/>
      <c r="L14" s="628"/>
      <c r="M14" s="629" t="s">
        <v>1468</v>
      </c>
      <c r="N14" s="634"/>
      <c r="O14" s="635"/>
      <c r="P14" s="634"/>
    </row>
    <row r="15" spans="1:17" ht="45" customHeight="1">
      <c r="A15" s="636" t="s">
        <v>888</v>
      </c>
      <c r="B15" s="634"/>
      <c r="C15" s="634"/>
      <c r="D15" s="637"/>
      <c r="E15" s="634"/>
      <c r="F15" s="634"/>
      <c r="G15" s="634"/>
      <c r="H15" s="634"/>
      <c r="I15" s="634"/>
      <c r="J15" s="634"/>
      <c r="K15" s="634"/>
      <c r="L15" s="634"/>
      <c r="M15" s="634"/>
      <c r="N15" s="634"/>
      <c r="O15" s="635"/>
      <c r="P15" s="629" t="s">
        <v>889</v>
      </c>
    </row>
    <row r="17" spans="1:5" ht="15.75">
      <c r="A17" s="638" t="s">
        <v>1446</v>
      </c>
    </row>
    <row r="18" spans="1:5">
      <c r="A18" s="607" t="s">
        <v>890</v>
      </c>
      <c r="B18" s="639" t="s">
        <v>891</v>
      </c>
      <c r="E18" s="607" t="s">
        <v>892</v>
      </c>
    </row>
    <row r="19" spans="1:5">
      <c r="A19" s="606" t="s">
        <v>893</v>
      </c>
      <c r="B19" s="606" t="s">
        <v>894</v>
      </c>
      <c r="E19" s="606" t="s">
        <v>895</v>
      </c>
    </row>
    <row r="20" spans="1:5">
      <c r="A20" s="606" t="s">
        <v>896</v>
      </c>
      <c r="B20" s="606" t="s">
        <v>897</v>
      </c>
      <c r="E20" s="606" t="s">
        <v>898</v>
      </c>
    </row>
    <row r="21" spans="1:5">
      <c r="A21" s="606" t="s">
        <v>899</v>
      </c>
      <c r="B21" s="606" t="s">
        <v>900</v>
      </c>
      <c r="E21" s="606" t="s">
        <v>901</v>
      </c>
    </row>
    <row r="22" spans="1:5">
      <c r="A22" s="606" t="s">
        <v>902</v>
      </c>
      <c r="B22" s="606" t="s">
        <v>903</v>
      </c>
      <c r="E22" s="606" t="s">
        <v>904</v>
      </c>
    </row>
    <row r="23" spans="1:5">
      <c r="A23" s="606" t="s">
        <v>905</v>
      </c>
      <c r="B23" s="606" t="s">
        <v>906</v>
      </c>
      <c r="E23" s="606" t="s">
        <v>907</v>
      </c>
    </row>
    <row r="24" spans="1:5">
      <c r="A24" s="606" t="s">
        <v>908</v>
      </c>
      <c r="B24" s="606" t="s">
        <v>909</v>
      </c>
      <c r="E24" s="606" t="s">
        <v>910</v>
      </c>
    </row>
  </sheetData>
  <mergeCells count="1">
    <mergeCell ref="E5:P5"/>
  </mergeCells>
  <pageMargins left="0.25" right="0.25" top="0.5" bottom="0.5" header="0.3" footer="0.3"/>
  <pageSetup paperSize="5"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opLeftCell="A13" zoomScale="80" zoomScaleNormal="80" workbookViewId="0">
      <selection activeCell="B12" sqref="B12"/>
    </sheetView>
  </sheetViews>
  <sheetFormatPr defaultRowHeight="15.75"/>
  <sheetData>
    <row r="1" spans="1:3" ht="18.75">
      <c r="A1" s="5" t="s">
        <v>481</v>
      </c>
    </row>
    <row r="3" spans="1:3">
      <c r="A3" t="s">
        <v>389</v>
      </c>
      <c r="C3" t="s">
        <v>425</v>
      </c>
    </row>
    <row r="4" spans="1:3" s="11" customFormat="1"/>
    <row r="5" spans="1:3">
      <c r="A5" t="s">
        <v>390</v>
      </c>
      <c r="C5" s="250" t="s">
        <v>391</v>
      </c>
    </row>
    <row r="6" spans="1:3">
      <c r="C6" s="250" t="s">
        <v>392</v>
      </c>
    </row>
    <row r="7" spans="1:3">
      <c r="C7" s="250" t="s">
        <v>396</v>
      </c>
    </row>
  </sheetData>
  <pageMargins left="0.25" right="0.25" top="0.75" bottom="0.75" header="0.3" footer="0.3"/>
  <pageSetup scale="76"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opLeftCell="A16" workbookViewId="0">
      <selection activeCell="J25" sqref="J25"/>
    </sheetView>
  </sheetViews>
  <sheetFormatPr defaultRowHeight="15.75"/>
  <sheetData>
    <row r="1" spans="1:5" s="11" customFormat="1" ht="18.75">
      <c r="A1" s="5" t="s">
        <v>393</v>
      </c>
    </row>
    <row r="2" spans="1:5" s="11" customFormat="1"/>
    <row r="3" spans="1:5" s="11" customFormat="1">
      <c r="A3" s="13" t="s">
        <v>394</v>
      </c>
    </row>
    <row r="4" spans="1:5" s="11" customFormat="1"/>
    <row r="5" spans="1:5">
      <c r="A5" s="11" t="s">
        <v>389</v>
      </c>
      <c r="B5" s="11"/>
      <c r="C5" s="11" t="s">
        <v>398</v>
      </c>
      <c r="D5" s="11"/>
      <c r="E5" s="11"/>
    </row>
    <row r="6" spans="1:5">
      <c r="A6" s="11"/>
      <c r="B6" s="11"/>
      <c r="C6" s="11" t="s">
        <v>399</v>
      </c>
      <c r="D6" s="11"/>
      <c r="E6" s="11"/>
    </row>
    <row r="7" spans="1:5" s="11" customFormat="1"/>
    <row r="8" spans="1:5">
      <c r="A8" s="11" t="s">
        <v>390</v>
      </c>
      <c r="B8" s="11"/>
      <c r="C8" s="250" t="s">
        <v>397</v>
      </c>
      <c r="D8" s="11"/>
      <c r="E8" s="11"/>
    </row>
    <row r="9" spans="1:5">
      <c r="A9" s="11"/>
      <c r="B9" s="11"/>
      <c r="C9" s="250" t="s">
        <v>400</v>
      </c>
      <c r="D9" s="11"/>
      <c r="E9" s="11"/>
    </row>
    <row r="10" spans="1:5">
      <c r="A10" s="11"/>
      <c r="B10" s="11"/>
      <c r="C10" s="250" t="s">
        <v>395</v>
      </c>
      <c r="D10" s="11"/>
      <c r="E10" s="11"/>
    </row>
    <row r="11" spans="1:5">
      <c r="C11" s="250" t="s">
        <v>407</v>
      </c>
    </row>
    <row r="14" spans="1:5">
      <c r="A14" s="13" t="s">
        <v>401</v>
      </c>
    </row>
    <row r="15" spans="1:5">
      <c r="C15" t="s">
        <v>423</v>
      </c>
    </row>
    <row r="16" spans="1:5" s="11" customFormat="1">
      <c r="C16" s="11" t="s">
        <v>424</v>
      </c>
    </row>
    <row r="17" spans="1:3" s="11" customFormat="1"/>
    <row r="18" spans="1:3">
      <c r="A18" s="13" t="s">
        <v>402</v>
      </c>
    </row>
    <row r="19" spans="1:3">
      <c r="C19" t="s">
        <v>404</v>
      </c>
    </row>
    <row r="20" spans="1:3">
      <c r="C20" t="s">
        <v>403</v>
      </c>
    </row>
    <row r="22" spans="1:3">
      <c r="A22" s="13" t="s">
        <v>454</v>
      </c>
    </row>
    <row r="24" spans="1:3">
      <c r="A24" t="s">
        <v>455</v>
      </c>
    </row>
    <row r="25" spans="1:3">
      <c r="B25" t="s">
        <v>456</v>
      </c>
    </row>
    <row r="26" spans="1:3">
      <c r="B26" t="s">
        <v>457</v>
      </c>
    </row>
    <row r="27" spans="1:3">
      <c r="B27" t="s">
        <v>458</v>
      </c>
    </row>
    <row r="29" spans="1:3">
      <c r="A29" s="13" t="s">
        <v>459</v>
      </c>
    </row>
    <row r="30" spans="1:3">
      <c r="B30" t="s">
        <v>460</v>
      </c>
    </row>
    <row r="31" spans="1:3">
      <c r="B31" t="s">
        <v>461</v>
      </c>
    </row>
    <row r="32" spans="1:3">
      <c r="B32" t="s">
        <v>480</v>
      </c>
    </row>
    <row r="34" spans="1:2">
      <c r="A34" s="13" t="s">
        <v>479</v>
      </c>
    </row>
    <row r="35" spans="1:2">
      <c r="B35" t="s">
        <v>462</v>
      </c>
    </row>
  </sheetData>
  <pageMargins left="0.25" right="0.25" top="0.75" bottom="0.75" header="0.3" footer="0.3"/>
  <pageSetup scale="85"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9"/>
  <sheetViews>
    <sheetView topLeftCell="A38" zoomScale="90" zoomScaleNormal="90" workbookViewId="0">
      <selection activeCell="A60" sqref="A60"/>
    </sheetView>
  </sheetViews>
  <sheetFormatPr defaultRowHeight="15.75"/>
  <sheetData>
    <row r="1" spans="1:1" ht="18.75">
      <c r="A1" s="5" t="s">
        <v>422</v>
      </c>
    </row>
    <row r="2" spans="1:1" s="11" customFormat="1"/>
    <row r="3" spans="1:1" s="11" customFormat="1"/>
    <row r="4" spans="1:1" s="11" customFormat="1"/>
    <row r="5" spans="1:1" s="11" customFormat="1">
      <c r="A5" s="13" t="s">
        <v>420</v>
      </c>
    </row>
    <row r="6" spans="1:1" s="11" customFormat="1"/>
    <row r="7" spans="1:1" s="11" customFormat="1"/>
    <row r="8" spans="1:1" s="11" customFormat="1"/>
    <row r="9" spans="1:1" s="11" customFormat="1"/>
    <row r="10" spans="1:1" s="11" customFormat="1"/>
    <row r="11" spans="1:1" s="11" customFormat="1">
      <c r="A11" s="255" t="s">
        <v>421</v>
      </c>
    </row>
    <row r="12" spans="1:1" s="11" customFormat="1"/>
    <row r="13" spans="1:1" s="11" customFormat="1"/>
    <row r="14" spans="1:1" s="11" customFormat="1"/>
    <row r="15" spans="1:1" s="11" customFormat="1"/>
    <row r="16" spans="1:1" s="11" customFormat="1"/>
    <row r="17" spans="1:1" s="11" customFormat="1"/>
    <row r="18" spans="1:1" s="11" customFormat="1"/>
    <row r="19" spans="1:1" s="11" customFormat="1"/>
    <row r="20" spans="1:1" s="11" customFormat="1"/>
    <row r="21" spans="1:1" s="11" customFormat="1"/>
    <row r="22" spans="1:1" s="11" customFormat="1"/>
    <row r="23" spans="1:1">
      <c r="A23" s="13" t="s">
        <v>419</v>
      </c>
    </row>
    <row r="24" spans="1:1" s="11" customFormat="1"/>
    <row r="25" spans="1:1" s="11" customFormat="1"/>
    <row r="26" spans="1:1" s="11" customFormat="1"/>
    <row r="27" spans="1:1" s="11" customFormat="1"/>
    <row r="28" spans="1:1" s="11" customFormat="1"/>
    <row r="29" spans="1:1" s="11" customFormat="1"/>
    <row r="30" spans="1:1" s="11" customFormat="1"/>
    <row r="31" spans="1:1" s="11" customFormat="1"/>
    <row r="32" spans="1:1" s="11" customFormat="1"/>
    <row r="33" spans="1:1" s="11" customFormat="1"/>
    <row r="34" spans="1:1" s="11" customFormat="1"/>
    <row r="35" spans="1:1" s="11" customFormat="1"/>
    <row r="36" spans="1:1" s="11" customFormat="1"/>
    <row r="37" spans="1:1" s="11" customFormat="1"/>
    <row r="38" spans="1:1" s="11" customFormat="1"/>
    <row r="39" spans="1:1" s="11" customFormat="1"/>
    <row r="40" spans="1:1" s="11" customFormat="1"/>
    <row r="41" spans="1:1">
      <c r="A41" s="13" t="s">
        <v>416</v>
      </c>
    </row>
    <row r="49" spans="1:2">
      <c r="A49" s="251" t="s">
        <v>408</v>
      </c>
    </row>
    <row r="50" spans="1:2">
      <c r="B50" s="279" t="s">
        <v>477</v>
      </c>
    </row>
    <row r="51" spans="1:2">
      <c r="B51" s="278" t="s">
        <v>478</v>
      </c>
    </row>
    <row r="52" spans="1:2">
      <c r="B52" t="s">
        <v>413</v>
      </c>
    </row>
    <row r="53" spans="1:2">
      <c r="B53" t="s">
        <v>410</v>
      </c>
    </row>
    <row r="54" spans="1:2">
      <c r="B54" t="s">
        <v>411</v>
      </c>
    </row>
    <row r="55" spans="1:2">
      <c r="B55" t="s">
        <v>414</v>
      </c>
    </row>
    <row r="56" spans="1:2">
      <c r="B56" t="s">
        <v>412</v>
      </c>
    </row>
    <row r="57" spans="1:2">
      <c r="B57" t="s">
        <v>409</v>
      </c>
    </row>
    <row r="60" spans="1:2">
      <c r="A60" s="254" t="s">
        <v>417</v>
      </c>
    </row>
    <row r="61" spans="1:2">
      <c r="B61" s="13" t="s">
        <v>415</v>
      </c>
    </row>
    <row r="62" spans="1:2">
      <c r="B62" s="252"/>
    </row>
    <row r="63" spans="1:2">
      <c r="B63" s="253"/>
    </row>
    <row r="69" spans="1:1">
      <c r="A69" s="13" t="s">
        <v>418</v>
      </c>
    </row>
  </sheetData>
  <hyperlinks>
    <hyperlink ref="B50" r:id="rId1"/>
  </hyperlinks>
  <pageMargins left="0.25" right="0.25" top="0.75" bottom="0.75" header="0.3" footer="0.3"/>
  <pageSetup scale="85" fitToHeight="0" orientation="landscape" r:id="rId2"/>
  <rowBreaks count="1" manualBreakCount="1">
    <brk id="37" max="15" man="1"/>
  </rowBreaks>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opLeftCell="A16" zoomScale="90" zoomScaleNormal="90" workbookViewId="0">
      <selection activeCell="E27" sqref="E27"/>
    </sheetView>
  </sheetViews>
  <sheetFormatPr defaultRowHeight="15.75"/>
  <cols>
    <col min="1" max="1" width="38.875" customWidth="1"/>
    <col min="2" max="2" width="10.625" style="14" customWidth="1"/>
    <col min="3" max="3" width="9.75" customWidth="1"/>
  </cols>
  <sheetData>
    <row r="1" spans="1:2" ht="18.75">
      <c r="A1" s="5" t="s">
        <v>446</v>
      </c>
    </row>
    <row r="2" spans="1:2" s="11" customFormat="1">
      <c r="B2" s="14"/>
    </row>
    <row r="3" spans="1:2" s="11" customFormat="1">
      <c r="B3" s="14"/>
    </row>
    <row r="4" spans="1:2">
      <c r="A4" t="s">
        <v>435</v>
      </c>
      <c r="B4" s="14">
        <v>56779</v>
      </c>
    </row>
    <row r="6" spans="1:2">
      <c r="A6" s="13" t="s">
        <v>436</v>
      </c>
    </row>
    <row r="8" spans="1:2">
      <c r="A8" t="s">
        <v>476</v>
      </c>
      <c r="B8" s="14">
        <v>34245</v>
      </c>
    </row>
    <row r="9" spans="1:2">
      <c r="A9" t="s">
        <v>442</v>
      </c>
      <c r="B9" s="14">
        <v>27857</v>
      </c>
    </row>
    <row r="10" spans="1:2">
      <c r="A10" t="s">
        <v>441</v>
      </c>
      <c r="B10" s="14">
        <v>27457</v>
      </c>
    </row>
    <row r="11" spans="1:2">
      <c r="A11" t="s">
        <v>439</v>
      </c>
      <c r="B11" s="14">
        <v>26036</v>
      </c>
    </row>
    <row r="12" spans="1:2">
      <c r="A12" t="s">
        <v>443</v>
      </c>
      <c r="B12" s="14">
        <v>20358</v>
      </c>
    </row>
    <row r="13" spans="1:2">
      <c r="A13" t="s">
        <v>437</v>
      </c>
      <c r="B13" s="14">
        <v>20118</v>
      </c>
    </row>
    <row r="14" spans="1:2">
      <c r="A14" t="s">
        <v>444</v>
      </c>
      <c r="B14" s="14">
        <v>19595</v>
      </c>
    </row>
    <row r="15" spans="1:2">
      <c r="A15" t="s">
        <v>438</v>
      </c>
      <c r="B15" s="14">
        <v>17179</v>
      </c>
    </row>
    <row r="16" spans="1:2">
      <c r="A16" t="s">
        <v>445</v>
      </c>
      <c r="B16" s="14">
        <v>16974</v>
      </c>
    </row>
    <row r="17" spans="1:3">
      <c r="A17" t="s">
        <v>440</v>
      </c>
      <c r="B17" s="14">
        <v>16863</v>
      </c>
    </row>
    <row r="27" spans="1:3" ht="18.75">
      <c r="A27" s="5" t="s">
        <v>447</v>
      </c>
    </row>
    <row r="29" spans="1:3">
      <c r="A29" s="13" t="s">
        <v>448</v>
      </c>
      <c r="B29" s="6" t="s">
        <v>1</v>
      </c>
      <c r="C29" s="13" t="s">
        <v>2</v>
      </c>
    </row>
    <row r="30" spans="1:3">
      <c r="A30" t="s">
        <v>1</v>
      </c>
      <c r="B30" s="14">
        <v>48827</v>
      </c>
      <c r="C30" s="14">
        <v>34739</v>
      </c>
    </row>
    <row r="32" spans="1:3">
      <c r="A32" t="s">
        <v>449</v>
      </c>
      <c r="B32" s="14">
        <v>4405</v>
      </c>
      <c r="C32" s="14">
        <v>2794</v>
      </c>
    </row>
    <row r="33" spans="1:3">
      <c r="A33" t="s">
        <v>450</v>
      </c>
      <c r="B33" s="14">
        <v>2743</v>
      </c>
      <c r="C33" s="14">
        <v>1971</v>
      </c>
    </row>
  </sheetData>
  <sortState ref="A8:B17">
    <sortCondition descending="1" ref="B8:B17"/>
  </sortState>
  <pageMargins left="0.25" right="0.25" top="0.75" bottom="0.75" header="0.3" footer="0.3"/>
  <pageSetup scale="87" orientation="landscape"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topLeftCell="B7" zoomScale="80" zoomScaleNormal="80" workbookViewId="0"/>
  </sheetViews>
  <sheetFormatPr defaultRowHeight="15.75"/>
  <sheetData/>
  <pageMargins left="0.25" right="0.25" top="0.75" bottom="0.75" header="0.3" footer="0.3"/>
  <pageSetup scale="76" orientation="landscape" r:id="rId1"/>
  <headerFooter>
    <oddHeader>&amp;C&amp;"-,Bold"&amp;14&amp;KFF0000REPORT CENTRAL DATA AGGREGATION HIERARCHY</oddHeader>
  </headerFooter>
  <drawing r:id="rId2"/>
  <legacyDrawing r:id="rId3"/>
  <oleObjects>
    <mc:AlternateContent xmlns:mc="http://schemas.openxmlformats.org/markup-compatibility/2006">
      <mc:Choice Requires="x14">
        <oleObject progId="Word.Document.8" shapeId="18433" r:id="rId4">
          <objectPr defaultSize="0" autoPict="0" r:id="rId5">
            <anchor moveWithCells="1" sizeWithCells="1">
              <from>
                <xdr:col>0</xdr:col>
                <xdr:colOff>190500</xdr:colOff>
                <xdr:row>0</xdr:row>
                <xdr:rowOff>104775</xdr:rowOff>
              </from>
              <to>
                <xdr:col>17</xdr:col>
                <xdr:colOff>323850</xdr:colOff>
                <xdr:row>39</xdr:row>
                <xdr:rowOff>104775</xdr:rowOff>
              </to>
            </anchor>
          </objectPr>
        </oleObject>
      </mc:Choice>
      <mc:Fallback>
        <oleObject progId="Word.Document.8" shapeId="18433" r:id="rId4"/>
      </mc:Fallback>
    </mc:AlternateContent>
  </oleObjec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G10" sqref="G10"/>
    </sheetView>
  </sheetViews>
  <sheetFormatPr defaultRowHeight="15.75"/>
  <cols>
    <col min="1" max="1" width="27" customWidth="1"/>
    <col min="2" max="2" width="13.375" customWidth="1"/>
    <col min="3" max="3" width="12.375" customWidth="1"/>
    <col min="6" max="6" width="17.875" customWidth="1"/>
  </cols>
  <sheetData>
    <row r="1" spans="1:6" s="11" customFormat="1">
      <c r="A1" s="13" t="s">
        <v>947</v>
      </c>
      <c r="B1" s="11" t="s">
        <v>948</v>
      </c>
      <c r="C1" s="11" t="s">
        <v>949</v>
      </c>
      <c r="F1" s="13" t="s">
        <v>1098</v>
      </c>
    </row>
    <row r="2" spans="1:6" s="11" customFormat="1">
      <c r="A2" s="413" t="s">
        <v>921</v>
      </c>
      <c r="B2" s="411"/>
      <c r="C2" s="411"/>
      <c r="F2" s="11" t="s">
        <v>1099</v>
      </c>
    </row>
    <row r="3" spans="1:6">
      <c r="A3" s="412" t="s">
        <v>954</v>
      </c>
      <c r="B3" s="411">
        <v>7.99</v>
      </c>
      <c r="C3" s="411">
        <v>11.99</v>
      </c>
    </row>
    <row r="4" spans="1:6">
      <c r="A4" s="414" t="s">
        <v>926</v>
      </c>
      <c r="B4" s="411"/>
      <c r="C4" s="411"/>
    </row>
    <row r="5" spans="1:6">
      <c r="A5" s="410" t="s">
        <v>927</v>
      </c>
      <c r="B5" s="411" t="s">
        <v>951</v>
      </c>
      <c r="C5" s="411" t="s">
        <v>950</v>
      </c>
    </row>
    <row r="6" spans="1:6">
      <c r="A6" s="413" t="s">
        <v>922</v>
      </c>
      <c r="B6" s="411"/>
      <c r="C6" s="411"/>
    </row>
    <row r="7" spans="1:6">
      <c r="A7" s="418" t="s">
        <v>969</v>
      </c>
      <c r="B7" s="411"/>
      <c r="C7" s="411"/>
    </row>
    <row r="8" spans="1:6">
      <c r="A8" s="413" t="s">
        <v>916</v>
      </c>
      <c r="B8" s="411">
        <v>7.99</v>
      </c>
      <c r="C8" s="411">
        <v>11.99</v>
      </c>
    </row>
    <row r="9" spans="1:6">
      <c r="A9" s="413" t="s">
        <v>924</v>
      </c>
      <c r="B9" s="411"/>
      <c r="C9" s="411"/>
    </row>
    <row r="10" spans="1:6">
      <c r="A10" s="412" t="s">
        <v>952</v>
      </c>
      <c r="B10" s="415">
        <v>7.99</v>
      </c>
      <c r="C10" s="411" t="s">
        <v>561</v>
      </c>
    </row>
    <row r="11" spans="1:6">
      <c r="A11" s="413" t="s">
        <v>923</v>
      </c>
      <c r="B11" s="411"/>
      <c r="C11" s="411"/>
    </row>
    <row r="12" spans="1:6">
      <c r="A12" s="412" t="s">
        <v>936</v>
      </c>
      <c r="B12" s="415">
        <v>7.99</v>
      </c>
      <c r="C12" s="415">
        <v>11.99</v>
      </c>
    </row>
    <row r="13" spans="1:6">
      <c r="A13" s="413" t="s">
        <v>929</v>
      </c>
      <c r="B13" s="411"/>
      <c r="C13" s="411"/>
    </row>
    <row r="14" spans="1:6">
      <c r="A14" s="418" t="s">
        <v>977</v>
      </c>
      <c r="B14" s="411"/>
      <c r="C14" s="411"/>
    </row>
    <row r="15" spans="1:6">
      <c r="A15" s="413" t="s">
        <v>917</v>
      </c>
      <c r="B15" s="411"/>
      <c r="C15" s="411"/>
    </row>
    <row r="16" spans="1:6">
      <c r="A16" s="418" t="s">
        <v>968</v>
      </c>
      <c r="B16" s="411"/>
      <c r="C16" s="411"/>
    </row>
    <row r="17" spans="1:3">
      <c r="A17" s="413" t="s">
        <v>920</v>
      </c>
      <c r="B17" s="411"/>
      <c r="C17" s="411"/>
    </row>
    <row r="18" spans="1:3">
      <c r="A18" s="413" t="s">
        <v>919</v>
      </c>
      <c r="B18" s="411"/>
      <c r="C18" s="411"/>
    </row>
    <row r="19" spans="1:3">
      <c r="A19" s="412" t="s">
        <v>940</v>
      </c>
      <c r="B19" s="411" t="s">
        <v>561</v>
      </c>
      <c r="C19" s="411" t="s">
        <v>561</v>
      </c>
    </row>
    <row r="20" spans="1:3">
      <c r="A20" s="412" t="s">
        <v>941</v>
      </c>
      <c r="B20" s="415">
        <v>7.99</v>
      </c>
      <c r="C20" s="411" t="s">
        <v>561</v>
      </c>
    </row>
    <row r="21" spans="1:3">
      <c r="A21" s="413" t="s">
        <v>946</v>
      </c>
      <c r="B21" s="411"/>
      <c r="C21" s="411"/>
    </row>
    <row r="22" spans="1:3">
      <c r="A22" s="413" t="s">
        <v>930</v>
      </c>
      <c r="B22" s="411"/>
      <c r="C22" s="411"/>
    </row>
    <row r="23" spans="1:3">
      <c r="A23" s="412" t="s">
        <v>938</v>
      </c>
      <c r="B23" s="411" t="s">
        <v>561</v>
      </c>
      <c r="C23" s="411" t="s">
        <v>561</v>
      </c>
    </row>
    <row r="24" spans="1:3">
      <c r="A24" s="413" t="s">
        <v>933</v>
      </c>
      <c r="B24" s="411"/>
      <c r="C24" s="411"/>
    </row>
    <row r="25" spans="1:3">
      <c r="A25" s="413" t="s">
        <v>928</v>
      </c>
      <c r="B25" s="411"/>
      <c r="C25" s="411"/>
    </row>
    <row r="26" spans="1:3">
      <c r="A26" s="413" t="s">
        <v>935</v>
      </c>
      <c r="B26" s="411"/>
      <c r="C26" s="411"/>
    </row>
    <row r="27" spans="1:3">
      <c r="A27" s="413" t="s">
        <v>945</v>
      </c>
      <c r="B27" s="411"/>
      <c r="C27" s="411"/>
    </row>
    <row r="28" spans="1:3">
      <c r="A28" s="413" t="s">
        <v>932</v>
      </c>
      <c r="B28" s="411"/>
      <c r="C28" s="411"/>
    </row>
    <row r="29" spans="1:3">
      <c r="A29" s="418" t="s">
        <v>970</v>
      </c>
      <c r="B29" s="411"/>
      <c r="C29" s="411"/>
    </row>
    <row r="30" spans="1:3">
      <c r="A30" s="418" t="s">
        <v>971</v>
      </c>
      <c r="B30" s="411"/>
      <c r="C30" s="411"/>
    </row>
    <row r="31" spans="1:3">
      <c r="A31" s="418" t="s">
        <v>972</v>
      </c>
      <c r="B31" s="411"/>
      <c r="C31" s="411"/>
    </row>
    <row r="32" spans="1:3">
      <c r="A32" s="418" t="s">
        <v>973</v>
      </c>
      <c r="B32" s="411"/>
      <c r="C32" s="411"/>
    </row>
    <row r="33" spans="1:3">
      <c r="A33" s="418" t="s">
        <v>974</v>
      </c>
      <c r="B33" s="411"/>
      <c r="C33" s="411"/>
    </row>
    <row r="34" spans="1:3">
      <c r="A34" s="418" t="s">
        <v>975</v>
      </c>
      <c r="B34" s="411"/>
      <c r="C34" s="411"/>
    </row>
    <row r="35" spans="1:3">
      <c r="A35" s="413" t="s">
        <v>931</v>
      </c>
      <c r="B35" s="411"/>
      <c r="C35" s="411"/>
    </row>
    <row r="36" spans="1:3">
      <c r="A36" s="413" t="s">
        <v>918</v>
      </c>
      <c r="B36" s="411"/>
      <c r="C36" s="411"/>
    </row>
    <row r="37" spans="1:3">
      <c r="A37" s="412" t="s">
        <v>939</v>
      </c>
      <c r="B37" s="415">
        <v>7.99</v>
      </c>
      <c r="C37" s="411" t="s">
        <v>561</v>
      </c>
    </row>
    <row r="38" spans="1:3">
      <c r="A38" s="413" t="s">
        <v>934</v>
      </c>
      <c r="B38" s="411"/>
      <c r="C38" s="411"/>
    </row>
    <row r="39" spans="1:3">
      <c r="A39" s="418" t="s">
        <v>976</v>
      </c>
      <c r="B39" s="411"/>
      <c r="C39" s="411"/>
    </row>
    <row r="40" spans="1:3">
      <c r="A40" s="412" t="s">
        <v>943</v>
      </c>
      <c r="B40" s="411" t="s">
        <v>561</v>
      </c>
      <c r="C40" s="411" t="s">
        <v>561</v>
      </c>
    </row>
    <row r="41" spans="1:3">
      <c r="A41" s="412" t="s">
        <v>937</v>
      </c>
      <c r="B41" s="415">
        <v>7.99</v>
      </c>
      <c r="C41" s="415">
        <v>11.99</v>
      </c>
    </row>
    <row r="42" spans="1:3">
      <c r="A42" s="413" t="s">
        <v>925</v>
      </c>
      <c r="B42" s="411"/>
      <c r="C42" s="411"/>
    </row>
    <row r="43" spans="1:3">
      <c r="A43" s="412" t="s">
        <v>944</v>
      </c>
      <c r="B43" s="411" t="s">
        <v>561</v>
      </c>
      <c r="C43" s="411" t="s">
        <v>561</v>
      </c>
    </row>
    <row r="44" spans="1:3">
      <c r="A44" s="412" t="s">
        <v>942</v>
      </c>
      <c r="B44" s="411" t="s">
        <v>561</v>
      </c>
      <c r="C44" s="411" t="s">
        <v>561</v>
      </c>
    </row>
  </sheetData>
  <sortState ref="A2:C44">
    <sortCondition ref="A2:A4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
  <sheetViews>
    <sheetView zoomScale="85" zoomScaleNormal="85" workbookViewId="0">
      <selection activeCell="L127" sqref="L127"/>
    </sheetView>
  </sheetViews>
  <sheetFormatPr defaultRowHeight="15.75"/>
  <cols>
    <col min="1" max="1" width="16" style="821" customWidth="1"/>
    <col min="2" max="2" width="21.125" style="417" customWidth="1"/>
    <col min="3" max="3" width="27.875" style="821" customWidth="1"/>
    <col min="4" max="5" width="11.125" style="1060" customWidth="1"/>
    <col min="6" max="6" width="11" style="1060" customWidth="1"/>
    <col min="7" max="8" width="11" style="821" customWidth="1"/>
    <col min="9" max="9" width="3.375" style="821" customWidth="1"/>
    <col min="10" max="10" width="0.125" style="821" customWidth="1"/>
    <col min="11" max="11" width="11" style="821" customWidth="1"/>
    <col min="12" max="12" width="60" style="1063" customWidth="1"/>
    <col min="13" max="13" width="9" style="821"/>
    <col min="14" max="15" width="9" style="1060"/>
    <col min="16" max="16384" width="9" style="11"/>
  </cols>
  <sheetData>
    <row r="1" spans="1:15" ht="18">
      <c r="A1" s="526" t="s">
        <v>1368</v>
      </c>
      <c r="B1" s="526"/>
      <c r="C1" s="526"/>
    </row>
    <row r="2" spans="1:15">
      <c r="C2" s="1064" t="s">
        <v>1633</v>
      </c>
      <c r="D2" s="1090" t="s">
        <v>1642</v>
      </c>
    </row>
    <row r="3" spans="1:15">
      <c r="A3" s="1475"/>
      <c r="B3" s="1475"/>
      <c r="C3" s="1475"/>
    </row>
    <row r="4" spans="1:15" s="1067" customFormat="1" ht="115.5">
      <c r="A4" s="1476"/>
      <c r="B4" s="1476"/>
      <c r="C4" s="1476"/>
      <c r="D4" s="1065" t="s">
        <v>1634</v>
      </c>
      <c r="E4" s="1065" t="s">
        <v>1635</v>
      </c>
      <c r="F4" s="1065" t="s">
        <v>1636</v>
      </c>
      <c r="G4" s="1065" t="s">
        <v>1637</v>
      </c>
      <c r="H4" s="1065" t="s">
        <v>1638</v>
      </c>
      <c r="I4" s="1065"/>
      <c r="J4" s="1065" t="s">
        <v>1639</v>
      </c>
      <c r="K4" s="1065" t="s">
        <v>1643</v>
      </c>
      <c r="L4" s="1066"/>
      <c r="M4" s="1062"/>
      <c r="N4" s="1062"/>
      <c r="O4" s="1062"/>
    </row>
    <row r="5" spans="1:15" s="1067" customFormat="1">
      <c r="A5" s="1476"/>
      <c r="B5" s="1476"/>
      <c r="C5" s="1476"/>
      <c r="D5" s="1065"/>
      <c r="E5" s="1065"/>
      <c r="F5" s="1065"/>
      <c r="G5" s="1065"/>
      <c r="H5" s="1065"/>
      <c r="I5" s="1065"/>
      <c r="J5" s="1065"/>
      <c r="K5" s="1065"/>
      <c r="L5" s="1066"/>
      <c r="M5" s="1062"/>
      <c r="N5" s="1062"/>
      <c r="O5" s="1062"/>
    </row>
    <row r="6" spans="1:15" hidden="1">
      <c r="A6" s="1477"/>
      <c r="B6" s="1477"/>
      <c r="C6" s="1477"/>
      <c r="D6" s="1068"/>
      <c r="E6" s="1068"/>
      <c r="F6" s="1068"/>
      <c r="G6" s="1069"/>
      <c r="H6" s="1069"/>
      <c r="I6" s="1069"/>
      <c r="J6" s="1069"/>
      <c r="K6" s="1069"/>
      <c r="L6" s="1070"/>
    </row>
    <row r="7" spans="1:15" hidden="1">
      <c r="A7" s="1477"/>
      <c r="B7" s="1477"/>
      <c r="C7" s="1477"/>
      <c r="D7" s="1068"/>
      <c r="E7" s="1068"/>
      <c r="F7" s="1068"/>
      <c r="G7" s="1069"/>
      <c r="H7" s="1069"/>
      <c r="I7" s="1069"/>
      <c r="J7" s="1069"/>
      <c r="K7" s="1069"/>
      <c r="L7" s="1070"/>
    </row>
    <row r="8" spans="1:15" hidden="1">
      <c r="A8" s="1477"/>
      <c r="B8" s="1477"/>
      <c r="C8" s="1477"/>
      <c r="D8" s="1068"/>
      <c r="E8" s="1068"/>
      <c r="F8" s="1068"/>
      <c r="G8" s="1069"/>
      <c r="H8" s="1069"/>
      <c r="I8" s="1069"/>
      <c r="J8" s="1069"/>
      <c r="K8" s="1069"/>
      <c r="L8" s="1070"/>
    </row>
    <row r="9" spans="1:15" hidden="1">
      <c r="A9" s="1477"/>
      <c r="B9" s="1477"/>
      <c r="C9" s="1477"/>
      <c r="D9" s="1068"/>
      <c r="E9" s="1068"/>
      <c r="F9" s="1068"/>
      <c r="G9" s="1069"/>
      <c r="H9" s="1069"/>
      <c r="I9" s="1069"/>
      <c r="J9" s="1069"/>
      <c r="K9" s="1069"/>
      <c r="L9" s="1070"/>
    </row>
    <row r="10" spans="1:15" hidden="1">
      <c r="A10" s="1477"/>
      <c r="B10" s="1477"/>
      <c r="C10" s="1477"/>
      <c r="D10" s="1068"/>
      <c r="E10" s="1068"/>
      <c r="F10" s="1068"/>
      <c r="G10" s="1069"/>
      <c r="H10" s="1069"/>
      <c r="I10" s="1069"/>
      <c r="J10" s="1069"/>
      <c r="K10" s="1069"/>
      <c r="L10" s="1070"/>
    </row>
    <row r="11" spans="1:15" s="8" customFormat="1">
      <c r="A11" s="405" t="s">
        <v>557</v>
      </c>
      <c r="B11" s="405" t="s">
        <v>1331</v>
      </c>
      <c r="C11" s="405" t="s">
        <v>1330</v>
      </c>
      <c r="D11" s="1068"/>
      <c r="E11" s="1068"/>
      <c r="F11" s="1068"/>
      <c r="G11" s="1069"/>
      <c r="H11" s="1069"/>
      <c r="I11" s="1069"/>
      <c r="J11" s="1069"/>
      <c r="K11" s="1069"/>
      <c r="L11" s="1071" t="s">
        <v>1640</v>
      </c>
      <c r="M11" s="821"/>
      <c r="N11" s="1060"/>
      <c r="O11" s="1060"/>
    </row>
    <row r="12" spans="1:15" s="8" customFormat="1" ht="36">
      <c r="A12" s="1478" t="s">
        <v>856</v>
      </c>
      <c r="B12" s="1473" t="s">
        <v>981</v>
      </c>
      <c r="C12" s="565" t="s">
        <v>1077</v>
      </c>
      <c r="D12" s="1072">
        <v>0.5</v>
      </c>
      <c r="E12" s="1072">
        <v>0.25</v>
      </c>
      <c r="F12" s="1068"/>
      <c r="G12" s="1073">
        <v>0.2857142857142857</v>
      </c>
      <c r="H12" s="1073">
        <v>0.6</v>
      </c>
      <c r="I12" s="1069"/>
      <c r="J12" s="1069">
        <v>18</v>
      </c>
      <c r="K12" s="1073">
        <f>J12/48</f>
        <v>0.375</v>
      </c>
      <c r="L12" s="1074" t="s">
        <v>1324</v>
      </c>
      <c r="M12" s="821"/>
      <c r="N12" s="1060"/>
      <c r="O12" s="1060"/>
    </row>
    <row r="13" spans="1:15" s="8" customFormat="1" ht="24">
      <c r="A13" s="1478"/>
      <c r="B13" s="1473"/>
      <c r="C13" s="1075" t="s">
        <v>1323</v>
      </c>
      <c r="D13" s="1072">
        <v>0.625</v>
      </c>
      <c r="E13" s="1072">
        <v>0.8125</v>
      </c>
      <c r="F13" s="1068"/>
      <c r="G13" s="1073">
        <v>0.5</v>
      </c>
      <c r="H13" s="1073">
        <v>0.6</v>
      </c>
      <c r="I13" s="1069"/>
      <c r="J13" s="1069">
        <v>31</v>
      </c>
      <c r="K13" s="1073">
        <f t="shared" ref="K13:K23" si="0">J13/48</f>
        <v>0.64583333333333337</v>
      </c>
      <c r="L13" s="1074" t="s">
        <v>1397</v>
      </c>
      <c r="M13" s="821"/>
      <c r="N13" s="1060"/>
      <c r="O13" s="1060"/>
    </row>
    <row r="14" spans="1:15" s="8" customFormat="1" ht="24">
      <c r="A14" s="1478"/>
      <c r="B14" s="1473"/>
      <c r="C14" s="1075" t="s">
        <v>1321</v>
      </c>
      <c r="D14" s="1072">
        <v>0.5</v>
      </c>
      <c r="E14" s="1072">
        <v>0.875</v>
      </c>
      <c r="F14" s="1068"/>
      <c r="G14" s="1073">
        <v>0.42857142857142855</v>
      </c>
      <c r="H14" s="1073">
        <v>0.5</v>
      </c>
      <c r="I14" s="1069"/>
      <c r="J14" s="1069">
        <v>29</v>
      </c>
      <c r="K14" s="1073">
        <f t="shared" si="0"/>
        <v>0.60416666666666663</v>
      </c>
      <c r="L14" s="1074" t="s">
        <v>1320</v>
      </c>
      <c r="M14" s="821"/>
      <c r="N14" s="1060"/>
      <c r="O14" s="1060"/>
    </row>
    <row r="15" spans="1:15" s="8" customFormat="1" ht="36">
      <c r="A15" s="1478"/>
      <c r="B15" s="1473"/>
      <c r="C15" s="571" t="s">
        <v>1319</v>
      </c>
      <c r="D15" s="1072">
        <v>0.5</v>
      </c>
      <c r="E15" s="1072">
        <v>0.5625</v>
      </c>
      <c r="F15" s="1068"/>
      <c r="G15" s="1073">
        <v>0.35714285714285715</v>
      </c>
      <c r="H15" s="1073">
        <v>0.3</v>
      </c>
      <c r="I15" s="1069"/>
      <c r="J15" s="1069">
        <v>21</v>
      </c>
      <c r="K15" s="1073">
        <f t="shared" si="0"/>
        <v>0.4375</v>
      </c>
      <c r="L15" s="1074" t="s">
        <v>1428</v>
      </c>
      <c r="M15" s="821"/>
      <c r="N15" s="1060"/>
      <c r="O15" s="1060"/>
    </row>
    <row r="16" spans="1:15" s="8" customFormat="1" ht="60">
      <c r="A16" s="1478"/>
      <c r="B16" s="1473"/>
      <c r="C16" s="1075" t="s">
        <v>1317</v>
      </c>
      <c r="D16" s="1072">
        <v>0.375</v>
      </c>
      <c r="E16" s="1072">
        <v>0.875</v>
      </c>
      <c r="F16" s="1068"/>
      <c r="G16" s="1073">
        <v>0.2857142857142857</v>
      </c>
      <c r="H16" s="1073">
        <v>0.4</v>
      </c>
      <c r="I16" s="1069"/>
      <c r="J16" s="1069">
        <v>25</v>
      </c>
      <c r="K16" s="1073">
        <f t="shared" si="0"/>
        <v>0.52083333333333337</v>
      </c>
      <c r="L16" s="1074" t="s">
        <v>1315</v>
      </c>
      <c r="M16" s="821"/>
      <c r="N16" s="1060"/>
      <c r="O16" s="1060"/>
    </row>
    <row r="17" spans="1:15" s="8" customFormat="1" ht="36">
      <c r="A17" s="1478"/>
      <c r="B17" s="1473"/>
      <c r="C17" s="571" t="s">
        <v>1314</v>
      </c>
      <c r="D17" s="1072">
        <v>0.625</v>
      </c>
      <c r="E17" s="1072">
        <v>0.4375</v>
      </c>
      <c r="F17" s="1068"/>
      <c r="G17" s="1073">
        <v>0.2857142857142857</v>
      </c>
      <c r="H17" s="1073">
        <v>0.5</v>
      </c>
      <c r="I17" s="1069"/>
      <c r="J17" s="1069">
        <v>21</v>
      </c>
      <c r="K17" s="1073">
        <f t="shared" si="0"/>
        <v>0.4375</v>
      </c>
      <c r="L17" s="1074" t="s">
        <v>1312</v>
      </c>
      <c r="M17" s="821"/>
      <c r="N17" s="1060"/>
      <c r="O17" s="1060"/>
    </row>
    <row r="18" spans="1:15" s="8" customFormat="1">
      <c r="A18" s="1478"/>
      <c r="B18" s="1473"/>
      <c r="C18" s="571" t="s">
        <v>1311</v>
      </c>
      <c r="D18" s="1072">
        <v>0.25</v>
      </c>
      <c r="E18" s="1072">
        <v>0.75</v>
      </c>
      <c r="F18" s="1068"/>
      <c r="G18" s="1073">
        <v>0.2857142857142857</v>
      </c>
      <c r="H18" s="1073">
        <v>0.3</v>
      </c>
      <c r="I18" s="1069"/>
      <c r="J18" s="1069">
        <v>21</v>
      </c>
      <c r="K18" s="1073">
        <f t="shared" si="0"/>
        <v>0.4375</v>
      </c>
      <c r="L18" s="1074" t="s">
        <v>1310</v>
      </c>
      <c r="M18" s="821"/>
      <c r="N18" s="1060"/>
      <c r="O18" s="1060"/>
    </row>
    <row r="19" spans="1:15" s="8" customFormat="1" ht="24">
      <c r="A19" s="1478"/>
      <c r="B19" s="1473"/>
      <c r="C19" s="571" t="s">
        <v>1309</v>
      </c>
      <c r="D19" s="1072">
        <v>0.25</v>
      </c>
      <c r="E19" s="1072">
        <v>0.6875</v>
      </c>
      <c r="F19" s="1068"/>
      <c r="G19" s="1073">
        <v>0.2857142857142857</v>
      </c>
      <c r="H19" s="1073">
        <v>0.4</v>
      </c>
      <c r="I19" s="1069"/>
      <c r="J19" s="1069">
        <v>21</v>
      </c>
      <c r="K19" s="1073">
        <f t="shared" si="0"/>
        <v>0.4375</v>
      </c>
      <c r="L19" s="1074" t="s">
        <v>1429</v>
      </c>
      <c r="M19" s="821"/>
      <c r="N19" s="1060"/>
      <c r="O19" s="1060"/>
    </row>
    <row r="20" spans="1:15" s="8" customFormat="1" ht="24">
      <c r="A20" s="1478"/>
      <c r="B20" s="1473"/>
      <c r="C20" s="1075" t="s">
        <v>1308</v>
      </c>
      <c r="D20" s="1072">
        <v>0.25</v>
      </c>
      <c r="E20" s="1072">
        <v>0.75</v>
      </c>
      <c r="F20" s="1068"/>
      <c r="G20" s="1073">
        <v>0.2857142857142857</v>
      </c>
      <c r="H20" s="1073">
        <v>0.6</v>
      </c>
      <c r="I20" s="1069"/>
      <c r="J20" s="1069">
        <v>24</v>
      </c>
      <c r="K20" s="1073">
        <f t="shared" si="0"/>
        <v>0.5</v>
      </c>
      <c r="L20" s="1074" t="s">
        <v>1398</v>
      </c>
      <c r="M20" s="821"/>
      <c r="N20" s="1060"/>
      <c r="O20" s="1060"/>
    </row>
    <row r="21" spans="1:15" s="8" customFormat="1" ht="36">
      <c r="A21" s="1478"/>
      <c r="B21" s="1076" t="s">
        <v>1033</v>
      </c>
      <c r="C21" s="1075" t="s">
        <v>1034</v>
      </c>
      <c r="D21" s="1072">
        <v>0.75</v>
      </c>
      <c r="E21" s="1072">
        <v>0.5</v>
      </c>
      <c r="F21" s="1068"/>
      <c r="G21" s="1073">
        <v>0.35714285714285715</v>
      </c>
      <c r="H21" s="1073">
        <v>0.5</v>
      </c>
      <c r="I21" s="1069"/>
      <c r="J21" s="1069">
        <v>24</v>
      </c>
      <c r="K21" s="1073">
        <f t="shared" si="0"/>
        <v>0.5</v>
      </c>
      <c r="L21" s="1074" t="s">
        <v>1307</v>
      </c>
      <c r="M21" s="821"/>
      <c r="N21" s="1060"/>
      <c r="O21" s="1060"/>
    </row>
    <row r="22" spans="1:15" s="8" customFormat="1" ht="25.5">
      <c r="A22" s="1478"/>
      <c r="B22" s="1076" t="s">
        <v>857</v>
      </c>
      <c r="C22" s="1075" t="s">
        <v>1306</v>
      </c>
      <c r="D22" s="1072">
        <v>0.5</v>
      </c>
      <c r="E22" s="1072">
        <v>0.6875</v>
      </c>
      <c r="F22" s="1068"/>
      <c r="G22" s="1073">
        <v>0.42857142857142855</v>
      </c>
      <c r="H22" s="1073">
        <v>0.6</v>
      </c>
      <c r="I22" s="1069"/>
      <c r="J22" s="1069">
        <v>27</v>
      </c>
      <c r="K22" s="1073">
        <f t="shared" si="0"/>
        <v>0.5625</v>
      </c>
      <c r="L22" s="1074" t="s">
        <v>1304</v>
      </c>
      <c r="M22" s="821"/>
      <c r="N22" s="1060"/>
      <c r="O22" s="1060"/>
    </row>
    <row r="23" spans="1:15" s="8" customFormat="1" ht="36">
      <c r="A23" s="1478"/>
      <c r="B23" s="1077" t="s">
        <v>1067</v>
      </c>
      <c r="C23" s="571" t="s">
        <v>1303</v>
      </c>
      <c r="D23" s="1072">
        <v>0.375</v>
      </c>
      <c r="E23" s="1072">
        <v>0.25</v>
      </c>
      <c r="F23" s="1068"/>
      <c r="G23" s="1073">
        <v>0.2857142857142857</v>
      </c>
      <c r="H23" s="1073">
        <v>0.4</v>
      </c>
      <c r="I23" s="1069"/>
      <c r="J23" s="1069">
        <v>15</v>
      </c>
      <c r="K23" s="1073">
        <f t="shared" si="0"/>
        <v>0.3125</v>
      </c>
      <c r="L23" s="1074" t="s">
        <v>1301</v>
      </c>
      <c r="M23" s="821"/>
      <c r="N23" s="1060"/>
      <c r="O23" s="1060"/>
    </row>
    <row r="24" spans="1:15" s="8" customFormat="1">
      <c r="A24" s="405"/>
      <c r="B24" s="1077"/>
      <c r="C24" s="571"/>
      <c r="D24" s="1068"/>
      <c r="E24" s="1068"/>
      <c r="F24" s="1068"/>
      <c r="G24" s="1069"/>
      <c r="H24" s="1069"/>
      <c r="I24" s="1069"/>
      <c r="J24" s="1069"/>
      <c r="K24" s="1069"/>
      <c r="L24" s="1074"/>
      <c r="M24" s="821"/>
      <c r="N24" s="1060"/>
      <c r="O24" s="1060"/>
    </row>
    <row r="25" spans="1:15" s="8" customFormat="1">
      <c r="A25" s="405"/>
      <c r="B25" s="1077"/>
      <c r="C25" s="571"/>
      <c r="D25" s="1068"/>
      <c r="E25" s="1068"/>
      <c r="F25" s="1068"/>
      <c r="G25" s="1069"/>
      <c r="H25" s="1069"/>
      <c r="I25" s="1069"/>
      <c r="J25" s="1069"/>
      <c r="K25" s="1069"/>
      <c r="L25" s="1074"/>
      <c r="M25" s="821"/>
      <c r="N25" s="1060"/>
      <c r="O25" s="1060"/>
    </row>
    <row r="26" spans="1:15" s="8" customFormat="1" ht="60">
      <c r="A26" s="1470" t="s">
        <v>858</v>
      </c>
      <c r="B26" s="1473" t="s">
        <v>495</v>
      </c>
      <c r="C26" s="1075" t="s">
        <v>1019</v>
      </c>
      <c r="D26" s="1072">
        <v>0.625</v>
      </c>
      <c r="E26" s="1072">
        <v>0.8125</v>
      </c>
      <c r="F26" s="1068"/>
      <c r="G26" s="1073">
        <v>0.5</v>
      </c>
      <c r="H26" s="1073">
        <v>0.5</v>
      </c>
      <c r="I26" s="1069"/>
      <c r="J26" s="1069">
        <v>30</v>
      </c>
      <c r="K26" s="1073">
        <f t="shared" ref="K26:K40" si="1">J26/48</f>
        <v>0.625</v>
      </c>
      <c r="L26" s="1078" t="s">
        <v>1299</v>
      </c>
      <c r="M26" s="821"/>
      <c r="N26" s="1060"/>
      <c r="O26" s="1060"/>
    </row>
    <row r="27" spans="1:15" s="8" customFormat="1" ht="24">
      <c r="A27" s="1470"/>
      <c r="B27" s="1473"/>
      <c r="C27" s="1075" t="s">
        <v>1298</v>
      </c>
      <c r="D27" s="1072">
        <v>0.625</v>
      </c>
      <c r="E27" s="1072">
        <v>0.5625</v>
      </c>
      <c r="F27" s="1068"/>
      <c r="G27" s="1073">
        <v>0.6428571428571429</v>
      </c>
      <c r="H27" s="1073">
        <v>0.4</v>
      </c>
      <c r="I27" s="1069"/>
      <c r="J27" s="1069">
        <v>27</v>
      </c>
      <c r="K27" s="1073">
        <f t="shared" si="1"/>
        <v>0.5625</v>
      </c>
      <c r="L27" s="1078" t="s">
        <v>1296</v>
      </c>
      <c r="M27" s="821"/>
      <c r="N27" s="1060"/>
      <c r="O27" s="1060"/>
    </row>
    <row r="28" spans="1:15" s="8" customFormat="1" ht="24">
      <c r="A28" s="1470"/>
      <c r="B28" s="1473"/>
      <c r="C28" s="1075" t="s">
        <v>1020</v>
      </c>
      <c r="D28" s="1072">
        <v>0.625</v>
      </c>
      <c r="E28" s="1072">
        <v>0.625</v>
      </c>
      <c r="F28" s="1068"/>
      <c r="G28" s="1073">
        <v>0.6428571428571429</v>
      </c>
      <c r="H28" s="1073">
        <v>0.3</v>
      </c>
      <c r="I28" s="1069"/>
      <c r="J28" s="1069">
        <v>27</v>
      </c>
      <c r="K28" s="1073">
        <f t="shared" si="1"/>
        <v>0.5625</v>
      </c>
      <c r="L28" s="1078" t="s">
        <v>1399</v>
      </c>
      <c r="M28" s="821"/>
      <c r="N28" s="1060"/>
      <c r="O28" s="1060"/>
    </row>
    <row r="29" spans="1:15" s="8" customFormat="1" ht="84">
      <c r="A29" s="1470"/>
      <c r="B29" s="1076" t="s">
        <v>1016</v>
      </c>
      <c r="C29" s="1075" t="s">
        <v>1294</v>
      </c>
      <c r="D29" s="1072">
        <v>0.625</v>
      </c>
      <c r="E29" s="1072">
        <v>0.625</v>
      </c>
      <c r="F29" s="1068"/>
      <c r="G29" s="1073">
        <v>0.7142857142857143</v>
      </c>
      <c r="H29" s="1073">
        <v>0.7</v>
      </c>
      <c r="I29" s="1069"/>
      <c r="J29" s="1069">
        <v>32</v>
      </c>
      <c r="K29" s="1073">
        <f t="shared" si="1"/>
        <v>0.66666666666666663</v>
      </c>
      <c r="L29" s="1074" t="s">
        <v>1292</v>
      </c>
      <c r="M29" s="821"/>
      <c r="N29" s="1060"/>
      <c r="O29" s="1060"/>
    </row>
    <row r="30" spans="1:15" s="8" customFormat="1" ht="51">
      <c r="A30" s="1470"/>
      <c r="B30" s="1076" t="s">
        <v>1344</v>
      </c>
      <c r="C30" s="571" t="s">
        <v>1345</v>
      </c>
      <c r="D30" s="1072">
        <v>0.5</v>
      </c>
      <c r="E30" s="1072">
        <v>0.3125</v>
      </c>
      <c r="F30" s="1068"/>
      <c r="G30" s="1073">
        <v>0.5</v>
      </c>
      <c r="H30" s="1073">
        <v>0</v>
      </c>
      <c r="I30" s="1069"/>
      <c r="J30" s="1069">
        <v>16</v>
      </c>
      <c r="K30" s="1073">
        <f t="shared" si="1"/>
        <v>0.33333333333333331</v>
      </c>
      <c r="L30" s="1074" t="s">
        <v>1346</v>
      </c>
      <c r="M30" s="821"/>
      <c r="N30" s="1060"/>
      <c r="O30" s="1060"/>
    </row>
    <row r="31" spans="1:15" s="8" customFormat="1" ht="60">
      <c r="A31" s="1470"/>
      <c r="B31" s="1076" t="s">
        <v>1078</v>
      </c>
      <c r="C31" s="1075" t="s">
        <v>1291</v>
      </c>
      <c r="D31" s="1072">
        <v>0.75</v>
      </c>
      <c r="E31" s="1072">
        <v>0.75</v>
      </c>
      <c r="F31" s="1068"/>
      <c r="G31" s="1073">
        <v>0.5</v>
      </c>
      <c r="H31" s="1073">
        <v>0.6</v>
      </c>
      <c r="I31" s="1069"/>
      <c r="J31" s="1069">
        <v>31</v>
      </c>
      <c r="K31" s="1073">
        <f t="shared" si="1"/>
        <v>0.64583333333333337</v>
      </c>
      <c r="L31" s="1078" t="s">
        <v>1289</v>
      </c>
      <c r="M31" s="821"/>
      <c r="N31" s="1060"/>
      <c r="O31" s="1060"/>
    </row>
    <row r="32" spans="1:15" s="8" customFormat="1" ht="36">
      <c r="A32" s="1470"/>
      <c r="B32" s="1076" t="s">
        <v>1055</v>
      </c>
      <c r="C32" s="1075" t="s">
        <v>1288</v>
      </c>
      <c r="D32" s="1072">
        <v>0.5</v>
      </c>
      <c r="E32" s="1072">
        <v>0.625</v>
      </c>
      <c r="F32" s="1068"/>
      <c r="G32" s="1073">
        <v>0.7142857142857143</v>
      </c>
      <c r="H32" s="1073">
        <v>0.7</v>
      </c>
      <c r="I32" s="1069"/>
      <c r="J32" s="1069">
        <v>31</v>
      </c>
      <c r="K32" s="1073">
        <f t="shared" si="1"/>
        <v>0.64583333333333337</v>
      </c>
      <c r="L32" s="1078" t="s">
        <v>1286</v>
      </c>
      <c r="M32" s="821"/>
      <c r="N32" s="1060"/>
      <c r="O32" s="1060"/>
    </row>
    <row r="33" spans="1:15" s="8" customFormat="1" ht="51">
      <c r="A33" s="1470"/>
      <c r="B33" s="1076" t="s">
        <v>1054</v>
      </c>
      <c r="C33" s="571" t="s">
        <v>1283</v>
      </c>
      <c r="D33" s="1072">
        <v>0.25</v>
      </c>
      <c r="E33" s="1072">
        <v>0.4375</v>
      </c>
      <c r="F33" s="1068"/>
      <c r="G33" s="1073">
        <v>0.42857142857142855</v>
      </c>
      <c r="H33" s="1073">
        <v>0.6</v>
      </c>
      <c r="I33" s="1069"/>
      <c r="J33" s="1069">
        <v>21</v>
      </c>
      <c r="K33" s="1073">
        <f t="shared" si="1"/>
        <v>0.4375</v>
      </c>
      <c r="L33" s="1078" t="s">
        <v>1285</v>
      </c>
      <c r="M33" s="821"/>
      <c r="N33" s="1060"/>
      <c r="O33" s="1060"/>
    </row>
    <row r="34" spans="1:15" s="8" customFormat="1" ht="51">
      <c r="A34" s="1470"/>
      <c r="B34" s="1076" t="s">
        <v>998</v>
      </c>
      <c r="C34" s="571" t="s">
        <v>1283</v>
      </c>
      <c r="D34" s="1072">
        <v>0.25</v>
      </c>
      <c r="E34" s="1072">
        <v>0.375</v>
      </c>
      <c r="F34" s="1068"/>
      <c r="G34" s="1073">
        <v>0.35714285714285715</v>
      </c>
      <c r="H34" s="1073">
        <v>0.7</v>
      </c>
      <c r="I34" s="1069"/>
      <c r="J34" s="1069">
        <v>20</v>
      </c>
      <c r="K34" s="1073">
        <f t="shared" si="1"/>
        <v>0.41666666666666669</v>
      </c>
      <c r="L34" s="1078" t="s">
        <v>1284</v>
      </c>
      <c r="M34" s="821"/>
      <c r="N34" s="1060"/>
      <c r="O34" s="1060"/>
    </row>
    <row r="35" spans="1:15" s="8" customFormat="1" ht="25.5">
      <c r="A35" s="1470"/>
      <c r="B35" s="1076" t="s">
        <v>1076</v>
      </c>
      <c r="C35" s="571" t="s">
        <v>1283</v>
      </c>
      <c r="D35" s="1072">
        <v>0.125</v>
      </c>
      <c r="E35" s="1072">
        <v>0.375</v>
      </c>
      <c r="F35" s="1068"/>
      <c r="G35" s="1073">
        <v>0.21428571428571427</v>
      </c>
      <c r="H35" s="1073">
        <v>0.4</v>
      </c>
      <c r="I35" s="1069"/>
      <c r="J35" s="1069">
        <v>14</v>
      </c>
      <c r="K35" s="1073">
        <f t="shared" si="1"/>
        <v>0.29166666666666669</v>
      </c>
      <c r="L35" s="1078" t="s">
        <v>1281</v>
      </c>
      <c r="M35" s="821"/>
      <c r="N35" s="1060"/>
      <c r="O35" s="1060"/>
    </row>
    <row r="36" spans="1:15" s="8" customFormat="1" ht="38.25">
      <c r="A36" s="1470"/>
      <c r="B36" s="1076" t="s">
        <v>965</v>
      </c>
      <c r="C36" s="571" t="s">
        <v>1280</v>
      </c>
      <c r="D36" s="1072">
        <v>0.375</v>
      </c>
      <c r="E36" s="1072">
        <v>0.4375</v>
      </c>
      <c r="F36" s="1068"/>
      <c r="G36" s="1073">
        <v>0.14285714285714285</v>
      </c>
      <c r="H36" s="1073">
        <v>0.3</v>
      </c>
      <c r="I36" s="1069"/>
      <c r="J36" s="1069">
        <v>15</v>
      </c>
      <c r="K36" s="1073">
        <f t="shared" si="1"/>
        <v>0.3125</v>
      </c>
      <c r="L36" s="1078" t="s">
        <v>1401</v>
      </c>
      <c r="M36" s="821"/>
      <c r="N36" s="1060"/>
      <c r="O36" s="1060"/>
    </row>
    <row r="37" spans="1:15" s="8" customFormat="1" ht="36">
      <c r="A37" s="1470"/>
      <c r="B37" s="1076" t="s">
        <v>999</v>
      </c>
      <c r="C37" s="1075" t="s">
        <v>1279</v>
      </c>
      <c r="D37" s="1072">
        <v>0.5</v>
      </c>
      <c r="E37" s="1072">
        <v>0.8125</v>
      </c>
      <c r="F37" s="1068"/>
      <c r="G37" s="1073">
        <v>0.6428571428571429</v>
      </c>
      <c r="H37" s="1073">
        <v>0.8</v>
      </c>
      <c r="I37" s="1069"/>
      <c r="J37" s="1069">
        <v>34</v>
      </c>
      <c r="K37" s="1073">
        <f t="shared" si="1"/>
        <v>0.70833333333333337</v>
      </c>
      <c r="L37" s="1078" t="s">
        <v>1402</v>
      </c>
      <c r="M37" s="821"/>
      <c r="N37" s="1060"/>
      <c r="O37" s="1060"/>
    </row>
    <row r="38" spans="1:15" s="8" customFormat="1">
      <c r="A38" s="1470"/>
      <c r="B38" s="1473" t="s">
        <v>1075</v>
      </c>
      <c r="C38" s="571" t="s">
        <v>1277</v>
      </c>
      <c r="D38" s="1072">
        <v>0.375</v>
      </c>
      <c r="E38" s="1072">
        <v>0.5</v>
      </c>
      <c r="F38" s="1068"/>
      <c r="G38" s="1073">
        <v>0.2857142857142857</v>
      </c>
      <c r="H38" s="1073">
        <v>0.5</v>
      </c>
      <c r="I38" s="1069"/>
      <c r="J38" s="1069">
        <v>20</v>
      </c>
      <c r="K38" s="1073">
        <f t="shared" si="1"/>
        <v>0.41666666666666669</v>
      </c>
      <c r="L38" s="1078"/>
      <c r="M38" s="821"/>
      <c r="N38" s="1060"/>
      <c r="O38" s="1060"/>
    </row>
    <row r="39" spans="1:15" s="8" customFormat="1" ht="25.5">
      <c r="A39" s="1470"/>
      <c r="B39" s="1473"/>
      <c r="C39" s="571" t="s">
        <v>1275</v>
      </c>
      <c r="D39" s="1072">
        <v>0.375</v>
      </c>
      <c r="E39" s="1072">
        <v>0.1875</v>
      </c>
      <c r="F39" s="1068"/>
      <c r="G39" s="1073">
        <v>0.35714285714285715</v>
      </c>
      <c r="H39" s="1073">
        <v>0.6</v>
      </c>
      <c r="I39" s="1069"/>
      <c r="J39" s="1069">
        <v>17</v>
      </c>
      <c r="K39" s="1073">
        <f t="shared" si="1"/>
        <v>0.35416666666666669</v>
      </c>
      <c r="L39" s="1078" t="s">
        <v>1273</v>
      </c>
      <c r="M39" s="821"/>
      <c r="N39" s="1060"/>
      <c r="O39" s="1060"/>
    </row>
    <row r="40" spans="1:15" s="8" customFormat="1" ht="72">
      <c r="A40" s="1470"/>
      <c r="B40" s="1076" t="s">
        <v>1053</v>
      </c>
      <c r="C40" s="1075" t="s">
        <v>1272</v>
      </c>
      <c r="D40" s="1072">
        <v>0.125</v>
      </c>
      <c r="E40" s="1072">
        <v>0.5625</v>
      </c>
      <c r="F40" s="1068"/>
      <c r="G40" s="1073">
        <v>0.5</v>
      </c>
      <c r="H40" s="1073">
        <v>0.7</v>
      </c>
      <c r="I40" s="1069"/>
      <c r="J40" s="1069">
        <v>24</v>
      </c>
      <c r="K40" s="1073">
        <f t="shared" si="1"/>
        <v>0.5</v>
      </c>
      <c r="L40" s="1078" t="s">
        <v>1270</v>
      </c>
      <c r="M40" s="821"/>
      <c r="N40" s="1060"/>
      <c r="O40" s="1060"/>
    </row>
    <row r="41" spans="1:15" s="8" customFormat="1">
      <c r="A41" s="405"/>
      <c r="B41" s="1077"/>
      <c r="C41" s="571"/>
      <c r="D41" s="1068"/>
      <c r="E41" s="1068"/>
      <c r="F41" s="1068"/>
      <c r="G41" s="1069"/>
      <c r="H41" s="1069"/>
      <c r="I41" s="1069"/>
      <c r="J41" s="1069"/>
      <c r="K41" s="1069"/>
      <c r="L41" s="1074"/>
      <c r="M41" s="821"/>
      <c r="N41" s="1060"/>
      <c r="O41" s="1060"/>
    </row>
    <row r="42" spans="1:15" s="8" customFormat="1">
      <c r="A42" s="405"/>
      <c r="B42" s="1077"/>
      <c r="C42" s="571"/>
      <c r="D42" s="1068"/>
      <c r="E42" s="1068"/>
      <c r="F42" s="1068"/>
      <c r="G42" s="1069"/>
      <c r="H42" s="1069"/>
      <c r="I42" s="1069"/>
      <c r="J42" s="1069"/>
      <c r="K42" s="1069"/>
      <c r="L42" s="1074"/>
      <c r="M42" s="821"/>
      <c r="N42" s="1060"/>
      <c r="O42" s="1060"/>
    </row>
    <row r="43" spans="1:15" s="8" customFormat="1">
      <c r="A43" s="1470" t="s">
        <v>1038</v>
      </c>
      <c r="B43" s="1473" t="s">
        <v>1024</v>
      </c>
      <c r="C43" s="571" t="s">
        <v>1269</v>
      </c>
      <c r="D43" s="1072">
        <v>0.5</v>
      </c>
      <c r="E43" s="1072">
        <v>0.3125</v>
      </c>
      <c r="F43" s="1068"/>
      <c r="G43" s="1073">
        <v>0.2857142857142857</v>
      </c>
      <c r="H43" s="1073">
        <v>0.5</v>
      </c>
      <c r="I43" s="1069"/>
      <c r="J43" s="1069">
        <v>18</v>
      </c>
      <c r="K43" s="1073">
        <f t="shared" ref="K43:K56" si="2">J43/48</f>
        <v>0.375</v>
      </c>
      <c r="L43" s="1078"/>
      <c r="M43" s="821"/>
      <c r="N43" s="1060"/>
      <c r="O43" s="1060"/>
    </row>
    <row r="44" spans="1:15" s="8" customFormat="1" ht="60">
      <c r="A44" s="1470"/>
      <c r="B44" s="1473"/>
      <c r="C44" s="1075" t="s">
        <v>1074</v>
      </c>
      <c r="D44" s="1072">
        <v>0.75</v>
      </c>
      <c r="E44" s="1072">
        <v>0.4375</v>
      </c>
      <c r="F44" s="1068"/>
      <c r="G44" s="1073">
        <v>0.42857142857142855</v>
      </c>
      <c r="H44" s="1073">
        <v>0.5</v>
      </c>
      <c r="I44" s="1069"/>
      <c r="J44" s="1069">
        <v>24</v>
      </c>
      <c r="K44" s="1073">
        <f t="shared" si="2"/>
        <v>0.5</v>
      </c>
      <c r="L44" s="1078" t="s">
        <v>1267</v>
      </c>
      <c r="M44" s="821"/>
      <c r="N44" s="1060"/>
      <c r="O44" s="1060"/>
    </row>
    <row r="45" spans="1:15" s="8" customFormat="1" ht="60">
      <c r="A45" s="1470"/>
      <c r="B45" s="1076" t="s">
        <v>1266</v>
      </c>
      <c r="C45" s="571" t="s">
        <v>1265</v>
      </c>
      <c r="D45" s="1072">
        <v>0.75</v>
      </c>
      <c r="E45" s="1072">
        <v>0.4375</v>
      </c>
      <c r="F45" s="1068"/>
      <c r="G45" s="1073">
        <v>0.35714285714285715</v>
      </c>
      <c r="H45" s="1073">
        <v>0.4</v>
      </c>
      <c r="I45" s="1069"/>
      <c r="J45" s="1069">
        <v>22</v>
      </c>
      <c r="K45" s="1073">
        <f t="shared" si="2"/>
        <v>0.45833333333333331</v>
      </c>
      <c r="L45" s="1079" t="s">
        <v>1403</v>
      </c>
      <c r="M45" s="821"/>
      <c r="N45" s="1060"/>
      <c r="O45" s="1060"/>
    </row>
    <row r="46" spans="1:15" s="8" customFormat="1" ht="60">
      <c r="A46" s="1470"/>
      <c r="B46" s="1076" t="s">
        <v>1263</v>
      </c>
      <c r="C46" s="571" t="s">
        <v>1404</v>
      </c>
      <c r="D46" s="1072">
        <v>0.75</v>
      </c>
      <c r="E46" s="1072">
        <v>0.375</v>
      </c>
      <c r="F46" s="1068"/>
      <c r="G46" s="1073">
        <v>7.1428571428571425E-2</v>
      </c>
      <c r="H46" s="1073">
        <v>0</v>
      </c>
      <c r="I46" s="1069"/>
      <c r="J46" s="1069">
        <v>13</v>
      </c>
      <c r="K46" s="1073">
        <f t="shared" si="2"/>
        <v>0.27083333333333331</v>
      </c>
      <c r="L46" s="1079" t="s">
        <v>1261</v>
      </c>
      <c r="M46" s="821"/>
      <c r="N46" s="1060"/>
      <c r="O46" s="1060"/>
    </row>
    <row r="47" spans="1:15" s="8" customFormat="1" ht="36">
      <c r="A47" s="1470"/>
      <c r="B47" s="1076" t="s">
        <v>1260</v>
      </c>
      <c r="C47" s="571" t="s">
        <v>1259</v>
      </c>
      <c r="D47" s="1072">
        <v>0.75</v>
      </c>
      <c r="E47" s="1072">
        <v>0.25</v>
      </c>
      <c r="F47" s="1068"/>
      <c r="G47" s="1073">
        <v>7.1428571428571425E-2</v>
      </c>
      <c r="H47" s="1073">
        <v>0.4</v>
      </c>
      <c r="I47" s="1069"/>
      <c r="J47" s="1069">
        <v>15</v>
      </c>
      <c r="K47" s="1073">
        <f t="shared" si="2"/>
        <v>0.3125</v>
      </c>
      <c r="L47" s="1078" t="s">
        <v>1258</v>
      </c>
      <c r="M47" s="821"/>
      <c r="N47" s="1060"/>
      <c r="O47" s="1060"/>
    </row>
    <row r="48" spans="1:15" s="8" customFormat="1" ht="25.5">
      <c r="A48" s="1470"/>
      <c r="B48" s="1076" t="s">
        <v>1257</v>
      </c>
      <c r="C48" s="571" t="s">
        <v>1256</v>
      </c>
      <c r="D48" s="1072">
        <v>0.5</v>
      </c>
      <c r="E48" s="1072">
        <v>6.25E-2</v>
      </c>
      <c r="F48" s="1068"/>
      <c r="G48" s="1073">
        <v>7.1428571428571425E-2</v>
      </c>
      <c r="H48" s="1073">
        <v>0.5</v>
      </c>
      <c r="I48" s="1069"/>
      <c r="J48" s="1069">
        <v>11</v>
      </c>
      <c r="K48" s="1073">
        <f t="shared" si="2"/>
        <v>0.22916666666666666</v>
      </c>
      <c r="L48" s="1078" t="s">
        <v>1255</v>
      </c>
      <c r="M48" s="821"/>
      <c r="N48" s="1060"/>
      <c r="O48" s="1060"/>
    </row>
    <row r="49" spans="1:15" s="8" customFormat="1" ht="38.25">
      <c r="A49" s="1470"/>
      <c r="B49" s="1076" t="s">
        <v>1254</v>
      </c>
      <c r="C49" s="571" t="s">
        <v>1253</v>
      </c>
      <c r="D49" s="1072">
        <v>0.5</v>
      </c>
      <c r="E49" s="1072">
        <v>0.5</v>
      </c>
      <c r="F49" s="1068"/>
      <c r="G49" s="1073">
        <v>7.1428571428571425E-2</v>
      </c>
      <c r="H49" s="1073">
        <v>0.4</v>
      </c>
      <c r="I49" s="1069"/>
      <c r="J49" s="1069">
        <v>17</v>
      </c>
      <c r="K49" s="1073">
        <f t="shared" si="2"/>
        <v>0.35416666666666669</v>
      </c>
      <c r="L49" s="1078" t="s">
        <v>1252</v>
      </c>
      <c r="M49" s="821"/>
      <c r="N49" s="1060"/>
      <c r="O49" s="1060"/>
    </row>
    <row r="50" spans="1:15" s="8" customFormat="1" ht="60">
      <c r="A50" s="1470"/>
      <c r="B50" s="1076" t="s">
        <v>1011</v>
      </c>
      <c r="C50" s="571" t="s">
        <v>1251</v>
      </c>
      <c r="D50" s="1072">
        <v>0.625</v>
      </c>
      <c r="E50" s="1072">
        <v>0.375</v>
      </c>
      <c r="F50" s="1068"/>
      <c r="G50" s="1073">
        <v>0.2857142857142857</v>
      </c>
      <c r="H50" s="1073">
        <v>0.4</v>
      </c>
      <c r="I50" s="1069"/>
      <c r="J50" s="1069">
        <v>19</v>
      </c>
      <c r="K50" s="1073">
        <f t="shared" si="2"/>
        <v>0.39583333333333331</v>
      </c>
      <c r="L50" s="1078" t="s">
        <v>1249</v>
      </c>
      <c r="M50" s="821"/>
      <c r="N50" s="1060"/>
      <c r="O50" s="1060"/>
    </row>
    <row r="51" spans="1:15" s="8" customFormat="1" ht="60">
      <c r="A51" s="1470"/>
      <c r="B51" s="1076" t="s">
        <v>1248</v>
      </c>
      <c r="C51" s="571" t="s">
        <v>1247</v>
      </c>
      <c r="D51" s="1072">
        <v>0.25</v>
      </c>
      <c r="E51" s="1072">
        <v>0.5</v>
      </c>
      <c r="F51" s="1068"/>
      <c r="G51" s="1073">
        <v>7.1428571428571425E-2</v>
      </c>
      <c r="H51" s="1073">
        <v>0</v>
      </c>
      <c r="I51" s="1069"/>
      <c r="J51" s="1069">
        <v>11</v>
      </c>
      <c r="K51" s="1073">
        <f t="shared" si="2"/>
        <v>0.22916666666666666</v>
      </c>
      <c r="L51" s="1078" t="s">
        <v>1246</v>
      </c>
      <c r="M51" s="821"/>
      <c r="N51" s="1060"/>
      <c r="O51" s="1060"/>
    </row>
    <row r="52" spans="1:15" s="8" customFormat="1" ht="24">
      <c r="A52" s="1470"/>
      <c r="B52" s="1076" t="s">
        <v>505</v>
      </c>
      <c r="C52" s="571" t="s">
        <v>1245</v>
      </c>
      <c r="D52" s="1072">
        <v>0.5</v>
      </c>
      <c r="E52" s="1072">
        <v>6.25E-2</v>
      </c>
      <c r="F52" s="1068"/>
      <c r="G52" s="1073">
        <v>7.1428571428571425E-2</v>
      </c>
      <c r="H52" s="1073">
        <v>0.5</v>
      </c>
      <c r="I52" s="1069"/>
      <c r="J52" s="1069">
        <v>11</v>
      </c>
      <c r="K52" s="1073">
        <f t="shared" si="2"/>
        <v>0.22916666666666666</v>
      </c>
      <c r="L52" s="1078" t="s">
        <v>1244</v>
      </c>
      <c r="M52" s="821"/>
      <c r="N52" s="1060"/>
      <c r="O52" s="1060"/>
    </row>
    <row r="53" spans="1:15" s="8" customFormat="1" ht="36">
      <c r="A53" s="1470"/>
      <c r="B53" s="1076" t="s">
        <v>1010</v>
      </c>
      <c r="C53" s="571" t="s">
        <v>1243</v>
      </c>
      <c r="D53" s="1072">
        <v>0.375</v>
      </c>
      <c r="E53" s="1072">
        <v>0.25</v>
      </c>
      <c r="F53" s="1068"/>
      <c r="G53" s="1073">
        <v>7.1428571428571425E-2</v>
      </c>
      <c r="H53" s="1073">
        <v>0.4</v>
      </c>
      <c r="I53" s="1069"/>
      <c r="J53" s="1069">
        <v>12</v>
      </c>
      <c r="K53" s="1073">
        <f t="shared" si="2"/>
        <v>0.25</v>
      </c>
      <c r="L53" s="1078" t="s">
        <v>1405</v>
      </c>
      <c r="M53" s="821"/>
      <c r="N53" s="1060"/>
      <c r="O53" s="1060"/>
    </row>
    <row r="54" spans="1:15" s="8" customFormat="1" ht="60">
      <c r="A54" s="1470"/>
      <c r="B54" s="1076" t="s">
        <v>507</v>
      </c>
      <c r="C54" s="571" t="s">
        <v>1242</v>
      </c>
      <c r="D54" s="1072">
        <v>0.75</v>
      </c>
      <c r="E54" s="1072">
        <v>0.375</v>
      </c>
      <c r="F54" s="1068"/>
      <c r="G54" s="1073">
        <v>7.1428571428571425E-2</v>
      </c>
      <c r="H54" s="1073">
        <v>0.4</v>
      </c>
      <c r="I54" s="1069"/>
      <c r="J54" s="1069">
        <v>17</v>
      </c>
      <c r="K54" s="1073">
        <f t="shared" si="2"/>
        <v>0.35416666666666669</v>
      </c>
      <c r="L54" s="1078" t="s">
        <v>1406</v>
      </c>
      <c r="M54" s="821"/>
      <c r="N54" s="1060"/>
      <c r="O54" s="1060"/>
    </row>
    <row r="55" spans="1:15" s="8" customFormat="1" ht="25.5">
      <c r="A55" s="1470"/>
      <c r="B55" s="1076" t="s">
        <v>967</v>
      </c>
      <c r="C55" s="571" t="s">
        <v>1241</v>
      </c>
      <c r="D55" s="1072">
        <v>0.375</v>
      </c>
      <c r="E55" s="1072">
        <v>0</v>
      </c>
      <c r="F55" s="1068"/>
      <c r="G55" s="1073">
        <v>7.1428571428571425E-2</v>
      </c>
      <c r="H55" s="1073">
        <v>0.4</v>
      </c>
      <c r="I55" s="1069"/>
      <c r="J55" s="1069">
        <v>8</v>
      </c>
      <c r="K55" s="1073">
        <f t="shared" si="2"/>
        <v>0.16666666666666666</v>
      </c>
      <c r="L55" s="1078" t="s">
        <v>1239</v>
      </c>
      <c r="M55" s="821"/>
      <c r="N55" s="1060"/>
      <c r="O55" s="1060"/>
    </row>
    <row r="56" spans="1:15" s="8" customFormat="1" ht="39">
      <c r="A56" s="1470"/>
      <c r="B56" s="1077" t="s">
        <v>982</v>
      </c>
      <c r="C56" s="1069" t="s">
        <v>1238</v>
      </c>
      <c r="D56" s="1072">
        <v>0.5</v>
      </c>
      <c r="E56" s="1072">
        <v>6.25E-2</v>
      </c>
      <c r="F56" s="1068"/>
      <c r="G56" s="1073">
        <v>7.1428571428571425E-2</v>
      </c>
      <c r="H56" s="1073">
        <v>0.6</v>
      </c>
      <c r="I56" s="1069"/>
      <c r="J56" s="1069">
        <v>12</v>
      </c>
      <c r="K56" s="1073">
        <f t="shared" si="2"/>
        <v>0.25</v>
      </c>
      <c r="L56" s="1074" t="s">
        <v>1237</v>
      </c>
      <c r="M56" s="821"/>
      <c r="N56" s="1060"/>
      <c r="O56" s="1060"/>
    </row>
    <row r="57" spans="1:15" s="8" customFormat="1">
      <c r="A57" s="405"/>
      <c r="B57" s="1077"/>
      <c r="C57" s="571"/>
      <c r="D57" s="1068"/>
      <c r="E57" s="1068"/>
      <c r="F57" s="1068"/>
      <c r="G57" s="1073">
        <v>0</v>
      </c>
      <c r="H57" s="1069"/>
      <c r="I57" s="1069"/>
      <c r="J57" s="1069"/>
      <c r="K57" s="1069"/>
      <c r="L57" s="1074"/>
      <c r="M57" s="821"/>
      <c r="N57" s="1060"/>
      <c r="O57" s="1060"/>
    </row>
    <row r="58" spans="1:15" s="8" customFormat="1">
      <c r="A58" s="405"/>
      <c r="B58" s="1077"/>
      <c r="C58" s="571"/>
      <c r="D58" s="1068"/>
      <c r="E58" s="1068"/>
      <c r="F58" s="1068"/>
      <c r="G58" s="1073">
        <v>0</v>
      </c>
      <c r="H58" s="1069"/>
      <c r="I58" s="1069"/>
      <c r="J58" s="1069"/>
      <c r="K58" s="1069"/>
      <c r="L58" s="1074"/>
      <c r="M58" s="821"/>
      <c r="N58" s="1060"/>
      <c r="O58" s="1060"/>
    </row>
    <row r="59" spans="1:15" s="8" customFormat="1">
      <c r="A59" s="1470" t="s">
        <v>577</v>
      </c>
      <c r="B59" s="1474" t="s">
        <v>983</v>
      </c>
      <c r="C59" s="1075" t="s">
        <v>859</v>
      </c>
      <c r="D59" s="1072">
        <v>0.625</v>
      </c>
      <c r="E59" s="1072">
        <v>0.8125</v>
      </c>
      <c r="F59" s="1068"/>
      <c r="G59" s="1073">
        <v>0.35714285714285715</v>
      </c>
      <c r="H59" s="1073">
        <v>0.4</v>
      </c>
      <c r="I59" s="1069"/>
      <c r="J59" s="1069">
        <v>27</v>
      </c>
      <c r="K59" s="1073">
        <f t="shared" ref="K59:K80" si="3">J59/48</f>
        <v>0.5625</v>
      </c>
      <c r="L59" s="1472" t="s">
        <v>1235</v>
      </c>
      <c r="M59" s="821"/>
      <c r="N59" s="1060"/>
      <c r="O59" s="1060"/>
    </row>
    <row r="60" spans="1:15" s="8" customFormat="1">
      <c r="A60" s="1470"/>
      <c r="B60" s="1474"/>
      <c r="C60" s="1075" t="s">
        <v>860</v>
      </c>
      <c r="D60" s="1072">
        <v>0.625</v>
      </c>
      <c r="E60" s="1072">
        <v>0.8125</v>
      </c>
      <c r="F60" s="1068"/>
      <c r="G60" s="1073">
        <v>0.35714285714285715</v>
      </c>
      <c r="H60" s="1073">
        <v>0.4</v>
      </c>
      <c r="I60" s="1069"/>
      <c r="J60" s="1069">
        <v>27</v>
      </c>
      <c r="K60" s="1073">
        <f t="shared" si="3"/>
        <v>0.5625</v>
      </c>
      <c r="L60" s="1472"/>
      <c r="M60" s="821"/>
      <c r="N60" s="1060"/>
      <c r="O60" s="1060"/>
    </row>
    <row r="61" spans="1:15" s="8" customFormat="1">
      <c r="A61" s="1470"/>
      <c r="B61" s="1474"/>
      <c r="C61" s="1075" t="s">
        <v>861</v>
      </c>
      <c r="D61" s="1072">
        <v>0.375</v>
      </c>
      <c r="E61" s="1072">
        <v>0.8125</v>
      </c>
      <c r="F61" s="1068"/>
      <c r="G61" s="1073">
        <v>0.5</v>
      </c>
      <c r="H61" s="1073">
        <v>0.4</v>
      </c>
      <c r="I61" s="1069"/>
      <c r="J61" s="1069">
        <v>27</v>
      </c>
      <c r="K61" s="1073">
        <f t="shared" si="3"/>
        <v>0.5625</v>
      </c>
      <c r="L61" s="1472"/>
      <c r="M61" s="821"/>
      <c r="N61" s="1060"/>
      <c r="O61" s="1060"/>
    </row>
    <row r="62" spans="1:15" s="8" customFormat="1">
      <c r="A62" s="1470"/>
      <c r="B62" s="1474"/>
      <c r="C62" s="1075" t="s">
        <v>862</v>
      </c>
      <c r="D62" s="1072">
        <v>0.375</v>
      </c>
      <c r="E62" s="1072">
        <v>0.8125</v>
      </c>
      <c r="F62" s="1068"/>
      <c r="G62" s="1073">
        <v>0.35714285714285715</v>
      </c>
      <c r="H62" s="1073">
        <v>0.4</v>
      </c>
      <c r="I62" s="1069"/>
      <c r="J62" s="1069">
        <v>25</v>
      </c>
      <c r="K62" s="1073">
        <f t="shared" si="3"/>
        <v>0.52083333333333337</v>
      </c>
      <c r="L62" s="1472"/>
      <c r="M62" s="821"/>
      <c r="N62" s="1060"/>
      <c r="O62" s="1060"/>
    </row>
    <row r="63" spans="1:15" s="8" customFormat="1">
      <c r="A63" s="1470"/>
      <c r="B63" s="1474"/>
      <c r="C63" s="1075" t="s">
        <v>863</v>
      </c>
      <c r="D63" s="1072">
        <v>0.5</v>
      </c>
      <c r="E63" s="1072">
        <v>0.8125</v>
      </c>
      <c r="F63" s="1068"/>
      <c r="G63" s="1073">
        <v>0.35714285714285715</v>
      </c>
      <c r="H63" s="1073">
        <v>0.4</v>
      </c>
      <c r="I63" s="1069"/>
      <c r="J63" s="1069">
        <v>26</v>
      </c>
      <c r="K63" s="1073">
        <f t="shared" si="3"/>
        <v>0.54166666666666663</v>
      </c>
      <c r="L63" s="1472"/>
      <c r="M63" s="821"/>
      <c r="N63" s="1060"/>
      <c r="O63" s="1060"/>
    </row>
    <row r="64" spans="1:15" s="8" customFormat="1">
      <c r="A64" s="1470"/>
      <c r="B64" s="1474"/>
      <c r="C64" s="1075" t="s">
        <v>864</v>
      </c>
      <c r="D64" s="1072">
        <v>0.375</v>
      </c>
      <c r="E64" s="1072">
        <v>0.8125</v>
      </c>
      <c r="F64" s="1068"/>
      <c r="G64" s="1073">
        <v>0.5</v>
      </c>
      <c r="H64" s="1073">
        <v>0.4</v>
      </c>
      <c r="I64" s="1069"/>
      <c r="J64" s="1069">
        <v>27</v>
      </c>
      <c r="K64" s="1073">
        <f t="shared" si="3"/>
        <v>0.5625</v>
      </c>
      <c r="L64" s="1472"/>
      <c r="M64" s="821"/>
      <c r="N64" s="1060"/>
      <c r="O64" s="1060"/>
    </row>
    <row r="65" spans="1:15" s="8" customFormat="1">
      <c r="A65" s="1470"/>
      <c r="B65" s="1473" t="s">
        <v>1021</v>
      </c>
      <c r="C65" s="1075" t="s">
        <v>985</v>
      </c>
      <c r="D65" s="1072">
        <v>0.25</v>
      </c>
      <c r="E65" s="1072">
        <v>0.8125</v>
      </c>
      <c r="F65" s="1068"/>
      <c r="G65" s="1073">
        <v>0.42857142857142855</v>
      </c>
      <c r="H65" s="1073">
        <v>0.5</v>
      </c>
      <c r="I65" s="1069"/>
      <c r="J65" s="1069">
        <v>26</v>
      </c>
      <c r="K65" s="1073">
        <f t="shared" si="3"/>
        <v>0.54166666666666663</v>
      </c>
      <c r="L65" s="1472" t="s">
        <v>1233</v>
      </c>
      <c r="M65" s="821"/>
      <c r="N65" s="1060"/>
      <c r="O65" s="1060"/>
    </row>
    <row r="66" spans="1:15" s="8" customFormat="1">
      <c r="A66" s="1470"/>
      <c r="B66" s="1473"/>
      <c r="C66" s="1075" t="s">
        <v>861</v>
      </c>
      <c r="D66" s="1072">
        <v>0.25</v>
      </c>
      <c r="E66" s="1072">
        <v>0.8125</v>
      </c>
      <c r="F66" s="1068"/>
      <c r="G66" s="1073">
        <v>0.42857142857142855</v>
      </c>
      <c r="H66" s="1073">
        <v>0.5</v>
      </c>
      <c r="I66" s="1069"/>
      <c r="J66" s="1069">
        <v>26</v>
      </c>
      <c r="K66" s="1073">
        <f t="shared" si="3"/>
        <v>0.54166666666666663</v>
      </c>
      <c r="L66" s="1472"/>
      <c r="M66" s="821"/>
      <c r="N66" s="1060"/>
      <c r="O66" s="1060"/>
    </row>
    <row r="67" spans="1:15" s="8" customFormat="1">
      <c r="A67" s="1470"/>
      <c r="B67" s="1473"/>
      <c r="C67" s="1075" t="s">
        <v>860</v>
      </c>
      <c r="D67" s="1072">
        <v>0.625</v>
      </c>
      <c r="E67" s="1072">
        <v>0.8125</v>
      </c>
      <c r="F67" s="1068"/>
      <c r="G67" s="1073">
        <v>0.2857142857142857</v>
      </c>
      <c r="H67" s="1073">
        <v>0.4</v>
      </c>
      <c r="I67" s="1069"/>
      <c r="J67" s="1069">
        <v>26</v>
      </c>
      <c r="K67" s="1073">
        <f t="shared" si="3"/>
        <v>0.54166666666666663</v>
      </c>
      <c r="L67" s="1472"/>
      <c r="M67" s="821"/>
      <c r="N67" s="1060"/>
      <c r="O67" s="1060"/>
    </row>
    <row r="68" spans="1:15" s="8" customFormat="1">
      <c r="A68" s="1470"/>
      <c r="B68" s="1473"/>
      <c r="C68" s="1075" t="s">
        <v>859</v>
      </c>
      <c r="D68" s="1072">
        <v>0.625</v>
      </c>
      <c r="E68" s="1072">
        <v>0.8125</v>
      </c>
      <c r="F68" s="1068"/>
      <c r="G68" s="1073">
        <v>0.2857142857142857</v>
      </c>
      <c r="H68" s="1073">
        <v>0.4</v>
      </c>
      <c r="I68" s="1069"/>
      <c r="J68" s="1069">
        <v>26</v>
      </c>
      <c r="K68" s="1073">
        <f t="shared" si="3"/>
        <v>0.54166666666666663</v>
      </c>
      <c r="L68" s="1472"/>
      <c r="M68" s="821"/>
      <c r="N68" s="1060"/>
      <c r="O68" s="1060"/>
    </row>
    <row r="69" spans="1:15" s="8" customFormat="1">
      <c r="A69" s="1470"/>
      <c r="B69" s="1473"/>
      <c r="C69" s="571" t="s">
        <v>984</v>
      </c>
      <c r="D69" s="1072">
        <v>0.25</v>
      </c>
      <c r="E69" s="1072">
        <v>0.8125</v>
      </c>
      <c r="F69" s="1068"/>
      <c r="G69" s="1073">
        <v>0.2857142857142857</v>
      </c>
      <c r="H69" s="1073">
        <v>0.4</v>
      </c>
      <c r="I69" s="1069"/>
      <c r="J69" s="1069">
        <v>23</v>
      </c>
      <c r="K69" s="1073">
        <f t="shared" si="3"/>
        <v>0.47916666666666669</v>
      </c>
      <c r="L69" s="1472"/>
      <c r="M69" s="821"/>
      <c r="N69" s="1060"/>
      <c r="O69" s="1060"/>
    </row>
    <row r="70" spans="1:15" s="8" customFormat="1">
      <c r="A70" s="1470"/>
      <c r="B70" s="1473"/>
      <c r="C70" s="571" t="s">
        <v>863</v>
      </c>
      <c r="D70" s="1072">
        <v>0.25</v>
      </c>
      <c r="E70" s="1072">
        <v>0.8125</v>
      </c>
      <c r="F70" s="1068"/>
      <c r="G70" s="1073">
        <v>0.2857142857142857</v>
      </c>
      <c r="H70" s="1073">
        <v>0.4</v>
      </c>
      <c r="I70" s="1069"/>
      <c r="J70" s="1069">
        <v>23</v>
      </c>
      <c r="K70" s="1073">
        <f t="shared" si="3"/>
        <v>0.47916666666666669</v>
      </c>
      <c r="L70" s="1472"/>
      <c r="M70" s="821"/>
      <c r="N70" s="1060"/>
      <c r="O70" s="1060"/>
    </row>
    <row r="71" spans="1:15" s="8" customFormat="1">
      <c r="A71" s="1470"/>
      <c r="B71" s="1473"/>
      <c r="C71" s="1075" t="s">
        <v>862</v>
      </c>
      <c r="D71" s="1072">
        <v>0.25</v>
      </c>
      <c r="E71" s="1072">
        <v>0.8125</v>
      </c>
      <c r="F71" s="1068"/>
      <c r="G71" s="1073">
        <v>0.35714285714285715</v>
      </c>
      <c r="H71" s="1073">
        <v>0.4</v>
      </c>
      <c r="I71" s="1069"/>
      <c r="J71" s="1069">
        <v>24</v>
      </c>
      <c r="K71" s="1073">
        <f t="shared" si="3"/>
        <v>0.5</v>
      </c>
      <c r="L71" s="1472"/>
      <c r="M71" s="821"/>
      <c r="N71" s="1060"/>
      <c r="O71" s="1060"/>
    </row>
    <row r="72" spans="1:15" s="8" customFormat="1">
      <c r="A72" s="1470"/>
      <c r="B72" s="1473" t="s">
        <v>1027</v>
      </c>
      <c r="C72" s="571" t="s">
        <v>1232</v>
      </c>
      <c r="D72" s="1072">
        <v>0.625</v>
      </c>
      <c r="E72" s="1072">
        <v>0.75</v>
      </c>
      <c r="F72" s="1068"/>
      <c r="G72" s="1073">
        <v>7.1428571428571425E-2</v>
      </c>
      <c r="H72" s="1073">
        <v>0.3</v>
      </c>
      <c r="I72" s="1069"/>
      <c r="J72" s="1069">
        <v>21</v>
      </c>
      <c r="K72" s="1073">
        <f t="shared" si="3"/>
        <v>0.4375</v>
      </c>
      <c r="L72" s="1472" t="s">
        <v>1407</v>
      </c>
      <c r="M72" s="821"/>
      <c r="N72" s="1060"/>
      <c r="O72" s="1060"/>
    </row>
    <row r="73" spans="1:15" s="8" customFormat="1">
      <c r="A73" s="1470"/>
      <c r="B73" s="1473"/>
      <c r="C73" s="571" t="s">
        <v>1231</v>
      </c>
      <c r="D73" s="1072">
        <v>0.625</v>
      </c>
      <c r="E73" s="1072">
        <v>0.5</v>
      </c>
      <c r="F73" s="1068"/>
      <c r="G73" s="1073">
        <v>7.1428571428571425E-2</v>
      </c>
      <c r="H73" s="1073">
        <v>0.3</v>
      </c>
      <c r="I73" s="1069"/>
      <c r="J73" s="1069">
        <v>17</v>
      </c>
      <c r="K73" s="1073">
        <f t="shared" si="3"/>
        <v>0.35416666666666669</v>
      </c>
      <c r="L73" s="1472"/>
      <c r="M73" s="821"/>
      <c r="N73" s="1060"/>
      <c r="O73" s="1060"/>
    </row>
    <row r="74" spans="1:15" s="8" customFormat="1" ht="84">
      <c r="A74" s="1470"/>
      <c r="B74" s="1076" t="s">
        <v>1079</v>
      </c>
      <c r="C74" s="1075" t="s">
        <v>1230</v>
      </c>
      <c r="D74" s="1072">
        <v>0.75</v>
      </c>
      <c r="E74" s="1072">
        <v>0.6875</v>
      </c>
      <c r="F74" s="1068"/>
      <c r="G74" s="1073">
        <v>0.42857142857142855</v>
      </c>
      <c r="H74" s="1073">
        <v>0.3</v>
      </c>
      <c r="I74" s="1069"/>
      <c r="J74" s="1069">
        <v>26</v>
      </c>
      <c r="K74" s="1073">
        <f t="shared" si="3"/>
        <v>0.54166666666666663</v>
      </c>
      <c r="L74" s="1078" t="s">
        <v>1228</v>
      </c>
      <c r="M74" s="821"/>
      <c r="N74" s="1060"/>
      <c r="O74" s="1060"/>
    </row>
    <row r="75" spans="1:15" s="8" customFormat="1" ht="76.5">
      <c r="A75" s="1470"/>
      <c r="B75" s="1076" t="s">
        <v>1227</v>
      </c>
      <c r="C75" s="1075" t="s">
        <v>1408</v>
      </c>
      <c r="D75" s="1072">
        <v>0.625</v>
      </c>
      <c r="E75" s="1072">
        <v>0.625</v>
      </c>
      <c r="F75" s="1068"/>
      <c r="G75" s="1073">
        <v>0.5714285714285714</v>
      </c>
      <c r="H75" s="1073">
        <v>0.2</v>
      </c>
      <c r="I75" s="1069"/>
      <c r="J75" s="1069">
        <v>25</v>
      </c>
      <c r="K75" s="1073">
        <f t="shared" si="3"/>
        <v>0.52083333333333337</v>
      </c>
      <c r="L75" s="1078" t="s">
        <v>1409</v>
      </c>
      <c r="M75" s="821"/>
      <c r="N75" s="1060"/>
      <c r="O75" s="1060"/>
    </row>
    <row r="76" spans="1:15" s="8" customFormat="1">
      <c r="A76" s="1470"/>
      <c r="B76" s="1473" t="s">
        <v>1025</v>
      </c>
      <c r="C76" s="571" t="s">
        <v>1410</v>
      </c>
      <c r="D76" s="1072">
        <v>0.5</v>
      </c>
      <c r="E76" s="1072">
        <v>0.5625</v>
      </c>
      <c r="F76" s="1068"/>
      <c r="G76" s="1073">
        <v>7.1428571428571425E-2</v>
      </c>
      <c r="H76" s="1073">
        <v>0.3</v>
      </c>
      <c r="I76" s="1069"/>
      <c r="J76" s="1069">
        <v>17</v>
      </c>
      <c r="K76" s="1073">
        <f t="shared" si="3"/>
        <v>0.35416666666666669</v>
      </c>
      <c r="L76" s="1472" t="s">
        <v>1224</v>
      </c>
      <c r="M76" s="821"/>
      <c r="N76" s="1060"/>
      <c r="O76" s="1060"/>
    </row>
    <row r="77" spans="1:15" s="8" customFormat="1">
      <c r="A77" s="1470"/>
      <c r="B77" s="1473"/>
      <c r="C77" s="571" t="s">
        <v>1013</v>
      </c>
      <c r="D77" s="1072">
        <v>0.125</v>
      </c>
      <c r="E77" s="1072">
        <v>0.4375</v>
      </c>
      <c r="F77" s="1068"/>
      <c r="G77" s="1073">
        <v>7.1428571428571425E-2</v>
      </c>
      <c r="H77" s="1073">
        <v>0.2</v>
      </c>
      <c r="I77" s="1069"/>
      <c r="J77" s="1069">
        <v>11</v>
      </c>
      <c r="K77" s="1073">
        <f t="shared" si="3"/>
        <v>0.22916666666666666</v>
      </c>
      <c r="L77" s="1472"/>
      <c r="M77" s="821"/>
      <c r="N77" s="1060"/>
      <c r="O77" s="1060"/>
    </row>
    <row r="78" spans="1:15" s="8" customFormat="1" ht="25.5">
      <c r="A78" s="1470"/>
      <c r="B78" s="1076" t="s">
        <v>1223</v>
      </c>
      <c r="C78" s="571" t="s">
        <v>1222</v>
      </c>
      <c r="D78" s="1072">
        <v>0.375</v>
      </c>
      <c r="E78" s="1072">
        <v>0.1875</v>
      </c>
      <c r="F78" s="1068"/>
      <c r="G78" s="1073">
        <v>7.1428571428571425E-2</v>
      </c>
      <c r="H78" s="1073">
        <v>0.4</v>
      </c>
      <c r="I78" s="1069"/>
      <c r="J78" s="1069">
        <v>11</v>
      </c>
      <c r="K78" s="1073">
        <f t="shared" si="3"/>
        <v>0.22916666666666666</v>
      </c>
      <c r="L78" s="1078" t="s">
        <v>1220</v>
      </c>
      <c r="M78" s="821"/>
      <c r="N78" s="1060"/>
      <c r="O78" s="1060"/>
    </row>
    <row r="79" spans="1:15" s="8" customFormat="1" ht="36">
      <c r="A79" s="1470"/>
      <c r="B79" s="1076" t="s">
        <v>1069</v>
      </c>
      <c r="C79" s="571" t="s">
        <v>1219</v>
      </c>
      <c r="D79" s="1072">
        <v>0.625</v>
      </c>
      <c r="E79" s="1072">
        <v>0.125</v>
      </c>
      <c r="F79" s="1068"/>
      <c r="G79" s="1073">
        <v>0.14285714285714285</v>
      </c>
      <c r="H79" s="1073">
        <v>0.4</v>
      </c>
      <c r="I79" s="1069"/>
      <c r="J79" s="1069">
        <v>13</v>
      </c>
      <c r="K79" s="1073">
        <f t="shared" si="3"/>
        <v>0.27083333333333331</v>
      </c>
      <c r="L79" s="1078" t="s">
        <v>1411</v>
      </c>
      <c r="M79" s="821"/>
      <c r="N79" s="1060"/>
      <c r="O79" s="1060"/>
    </row>
    <row r="80" spans="1:15" s="8" customFormat="1" ht="72">
      <c r="A80" s="1470"/>
      <c r="B80" s="1076" t="s">
        <v>986</v>
      </c>
      <c r="C80" s="571" t="s">
        <v>1218</v>
      </c>
      <c r="D80" s="1072">
        <v>0.375</v>
      </c>
      <c r="E80" s="1072">
        <v>0.25</v>
      </c>
      <c r="F80" s="1068"/>
      <c r="G80" s="1073">
        <v>0</v>
      </c>
      <c r="H80" s="1073">
        <v>0.4</v>
      </c>
      <c r="I80" s="1069"/>
      <c r="J80" s="1069">
        <v>11</v>
      </c>
      <c r="K80" s="1073">
        <f t="shared" si="3"/>
        <v>0.22916666666666666</v>
      </c>
      <c r="L80" s="1078" t="s">
        <v>1412</v>
      </c>
      <c r="M80" s="821"/>
      <c r="N80" s="1060"/>
      <c r="O80" s="1060"/>
    </row>
    <row r="81" spans="1:15" s="8" customFormat="1">
      <c r="A81" s="405"/>
      <c r="B81" s="1077"/>
      <c r="C81" s="571"/>
      <c r="D81" s="1068"/>
      <c r="E81" s="1068"/>
      <c r="F81" s="1068"/>
      <c r="G81" s="1069"/>
      <c r="H81" s="1069"/>
      <c r="I81" s="1069"/>
      <c r="J81" s="1069"/>
      <c r="K81" s="1069"/>
      <c r="L81" s="1074"/>
      <c r="M81" s="821"/>
      <c r="N81" s="1060"/>
      <c r="O81" s="1060"/>
    </row>
    <row r="82" spans="1:15" s="8" customFormat="1">
      <c r="A82" s="405"/>
      <c r="B82" s="1077"/>
      <c r="C82" s="571"/>
      <c r="D82" s="1068"/>
      <c r="E82" s="1068"/>
      <c r="F82" s="1068"/>
      <c r="G82" s="1069"/>
      <c r="H82" s="1069"/>
      <c r="I82" s="1069"/>
      <c r="J82" s="1069"/>
      <c r="K82" s="1069"/>
      <c r="L82" s="1074"/>
      <c r="M82" s="821"/>
      <c r="N82" s="1060"/>
      <c r="O82" s="1060"/>
    </row>
    <row r="83" spans="1:15" s="8" customFormat="1">
      <c r="A83" s="1470" t="s">
        <v>564</v>
      </c>
      <c r="B83" s="1473" t="s">
        <v>521</v>
      </c>
      <c r="C83" s="571" t="s">
        <v>1001</v>
      </c>
      <c r="D83" s="1072">
        <v>0.75</v>
      </c>
      <c r="E83" s="1072">
        <v>0.5</v>
      </c>
      <c r="F83" s="1068"/>
      <c r="G83" s="1073">
        <v>0</v>
      </c>
      <c r="H83" s="1073">
        <v>0.3</v>
      </c>
      <c r="I83" s="1069"/>
      <c r="J83" s="1069">
        <v>17</v>
      </c>
      <c r="K83" s="1073">
        <f t="shared" ref="K83:K96" si="4">J83/48</f>
        <v>0.35416666666666669</v>
      </c>
      <c r="L83" s="1472" t="s">
        <v>1216</v>
      </c>
      <c r="M83" s="821"/>
      <c r="N83" s="1060"/>
      <c r="O83" s="1060"/>
    </row>
    <row r="84" spans="1:15" s="8" customFormat="1">
      <c r="A84" s="1470"/>
      <c r="B84" s="1473"/>
      <c r="C84" s="571" t="s">
        <v>1002</v>
      </c>
      <c r="D84" s="1072">
        <v>0.75</v>
      </c>
      <c r="E84" s="1072">
        <v>0.5625</v>
      </c>
      <c r="F84" s="1068"/>
      <c r="G84" s="1073">
        <v>0</v>
      </c>
      <c r="H84" s="1073">
        <v>0.3</v>
      </c>
      <c r="I84" s="1069"/>
      <c r="J84" s="1069">
        <v>18</v>
      </c>
      <c r="K84" s="1073">
        <f t="shared" si="4"/>
        <v>0.375</v>
      </c>
      <c r="L84" s="1472"/>
      <c r="M84" s="821"/>
      <c r="N84" s="1060"/>
      <c r="O84" s="1060"/>
    </row>
    <row r="85" spans="1:15" s="8" customFormat="1">
      <c r="A85" s="1470"/>
      <c r="B85" s="1473"/>
      <c r="C85" s="571" t="s">
        <v>1003</v>
      </c>
      <c r="D85" s="1072">
        <v>0.75</v>
      </c>
      <c r="E85" s="1072">
        <v>0.5625</v>
      </c>
      <c r="F85" s="1068"/>
      <c r="G85" s="1073">
        <v>0</v>
      </c>
      <c r="H85" s="1073">
        <v>0.3</v>
      </c>
      <c r="I85" s="1069"/>
      <c r="J85" s="1069">
        <v>18</v>
      </c>
      <c r="K85" s="1073">
        <f t="shared" si="4"/>
        <v>0.375</v>
      </c>
      <c r="L85" s="1472"/>
      <c r="M85" s="821"/>
      <c r="N85" s="1060"/>
      <c r="O85" s="1060"/>
    </row>
    <row r="86" spans="1:15" s="8" customFormat="1">
      <c r="A86" s="1470"/>
      <c r="B86" s="1473"/>
      <c r="C86" s="571" t="s">
        <v>1068</v>
      </c>
      <c r="D86" s="1072">
        <v>0.75</v>
      </c>
      <c r="E86" s="1072">
        <v>0.5625</v>
      </c>
      <c r="F86" s="1068"/>
      <c r="G86" s="1073">
        <v>0</v>
      </c>
      <c r="H86" s="1073">
        <v>0.3</v>
      </c>
      <c r="I86" s="1069"/>
      <c r="J86" s="1069">
        <v>18</v>
      </c>
      <c r="K86" s="1073">
        <f t="shared" si="4"/>
        <v>0.375</v>
      </c>
      <c r="L86" s="1472"/>
      <c r="M86" s="821"/>
      <c r="N86" s="1060"/>
      <c r="O86" s="1060"/>
    </row>
    <row r="87" spans="1:15" s="8" customFormat="1">
      <c r="A87" s="1470"/>
      <c r="B87" s="1473"/>
      <c r="C87" s="571" t="s">
        <v>1004</v>
      </c>
      <c r="D87" s="1072">
        <v>0.75</v>
      </c>
      <c r="E87" s="1072">
        <v>0.625</v>
      </c>
      <c r="F87" s="1068"/>
      <c r="G87" s="1073">
        <v>0</v>
      </c>
      <c r="H87" s="1073">
        <v>0.3</v>
      </c>
      <c r="I87" s="1069"/>
      <c r="J87" s="1069">
        <v>19</v>
      </c>
      <c r="K87" s="1073">
        <f t="shared" si="4"/>
        <v>0.39583333333333331</v>
      </c>
      <c r="L87" s="1472"/>
      <c r="M87" s="821"/>
      <c r="N87" s="1060"/>
      <c r="O87" s="1060"/>
    </row>
    <row r="88" spans="1:15" s="8" customFormat="1" ht="25.5">
      <c r="A88" s="1470"/>
      <c r="B88" s="1076" t="s">
        <v>987</v>
      </c>
      <c r="C88" s="571" t="s">
        <v>1041</v>
      </c>
      <c r="D88" s="1072">
        <v>0.625</v>
      </c>
      <c r="E88" s="1072">
        <v>0.375</v>
      </c>
      <c r="F88" s="1068"/>
      <c r="G88" s="1073">
        <v>0</v>
      </c>
      <c r="H88" s="1073">
        <v>0.3</v>
      </c>
      <c r="I88" s="1069"/>
      <c r="J88" s="1069">
        <v>14</v>
      </c>
      <c r="K88" s="1073">
        <f t="shared" si="4"/>
        <v>0.29166666666666669</v>
      </c>
      <c r="L88" s="1078" t="s">
        <v>1214</v>
      </c>
      <c r="M88" s="821"/>
      <c r="N88" s="1060"/>
      <c r="O88" s="1060"/>
    </row>
    <row r="89" spans="1:15" s="8" customFormat="1" ht="24">
      <c r="A89" s="1470"/>
      <c r="B89" s="1473" t="s">
        <v>523</v>
      </c>
      <c r="C89" s="571" t="s">
        <v>865</v>
      </c>
      <c r="D89" s="1072">
        <v>0.75</v>
      </c>
      <c r="E89" s="1072">
        <v>0.75</v>
      </c>
      <c r="F89" s="1068"/>
      <c r="G89" s="1073">
        <v>0</v>
      </c>
      <c r="H89" s="1073">
        <v>0.3</v>
      </c>
      <c r="I89" s="1069"/>
      <c r="J89" s="1069">
        <v>21</v>
      </c>
      <c r="K89" s="1073">
        <f t="shared" si="4"/>
        <v>0.4375</v>
      </c>
      <c r="L89" s="1078" t="s">
        <v>1212</v>
      </c>
      <c r="M89" s="821"/>
      <c r="N89" s="1060"/>
      <c r="O89" s="1060"/>
    </row>
    <row r="90" spans="1:15" s="8" customFormat="1" ht="24">
      <c r="A90" s="1470"/>
      <c r="B90" s="1473"/>
      <c r="C90" s="571" t="s">
        <v>866</v>
      </c>
      <c r="D90" s="1072">
        <v>0.75</v>
      </c>
      <c r="E90" s="1072">
        <v>0.625</v>
      </c>
      <c r="F90" s="1068"/>
      <c r="G90" s="1073">
        <v>0</v>
      </c>
      <c r="H90" s="1073">
        <v>0.3</v>
      </c>
      <c r="I90" s="1069"/>
      <c r="J90" s="1069">
        <v>19</v>
      </c>
      <c r="K90" s="1073">
        <f t="shared" si="4"/>
        <v>0.39583333333333331</v>
      </c>
      <c r="L90" s="1078" t="s">
        <v>1210</v>
      </c>
      <c r="M90" s="821"/>
      <c r="N90" s="1060"/>
      <c r="O90" s="1060"/>
    </row>
    <row r="91" spans="1:15" s="8" customFormat="1" ht="48">
      <c r="A91" s="1470"/>
      <c r="B91" s="1473"/>
      <c r="C91" s="571" t="s">
        <v>525</v>
      </c>
      <c r="D91" s="1072">
        <v>0.625</v>
      </c>
      <c r="E91" s="1072">
        <v>0.6875</v>
      </c>
      <c r="F91" s="1068"/>
      <c r="G91" s="1073">
        <v>0</v>
      </c>
      <c r="H91" s="1073">
        <v>0.3</v>
      </c>
      <c r="I91" s="1069"/>
      <c r="J91" s="1069">
        <v>19</v>
      </c>
      <c r="K91" s="1073">
        <f t="shared" si="4"/>
        <v>0.39583333333333331</v>
      </c>
      <c r="L91" s="1078" t="s">
        <v>1208</v>
      </c>
      <c r="M91" s="821"/>
      <c r="N91" s="1060"/>
      <c r="O91" s="1060"/>
    </row>
    <row r="92" spans="1:15" s="8" customFormat="1">
      <c r="A92" s="1470" t="s">
        <v>589</v>
      </c>
      <c r="B92" s="1473" t="s">
        <v>988</v>
      </c>
      <c r="C92" s="571" t="s">
        <v>1040</v>
      </c>
      <c r="D92" s="1072">
        <v>0.75</v>
      </c>
      <c r="E92" s="1072">
        <v>0.6875</v>
      </c>
      <c r="F92" s="1068"/>
      <c r="G92" s="1073">
        <v>0</v>
      </c>
      <c r="H92" s="1073">
        <v>0.5</v>
      </c>
      <c r="I92" s="1069"/>
      <c r="J92" s="1069">
        <v>22</v>
      </c>
      <c r="K92" s="1073">
        <f t="shared" si="4"/>
        <v>0.45833333333333331</v>
      </c>
      <c r="L92" s="1472" t="s">
        <v>1413</v>
      </c>
      <c r="M92" s="821"/>
      <c r="N92" s="1060"/>
      <c r="O92" s="1060"/>
    </row>
    <row r="93" spans="1:15" s="8" customFormat="1">
      <c r="A93" s="1470"/>
      <c r="B93" s="1473"/>
      <c r="C93" s="1075" t="s">
        <v>437</v>
      </c>
      <c r="D93" s="1072">
        <v>0.75</v>
      </c>
      <c r="E93" s="1072">
        <v>0.6875</v>
      </c>
      <c r="F93" s="1068"/>
      <c r="G93" s="1073">
        <v>0</v>
      </c>
      <c r="H93" s="1073">
        <v>0.7</v>
      </c>
      <c r="I93" s="1069"/>
      <c r="J93" s="1069">
        <v>24</v>
      </c>
      <c r="K93" s="1073">
        <f t="shared" si="4"/>
        <v>0.5</v>
      </c>
      <c r="L93" s="1472"/>
      <c r="M93" s="821"/>
      <c r="N93" s="1060"/>
      <c r="O93" s="1060"/>
    </row>
    <row r="94" spans="1:15" s="8" customFormat="1">
      <c r="A94" s="1470"/>
      <c r="B94" s="1473"/>
      <c r="C94" s="1075" t="s">
        <v>445</v>
      </c>
      <c r="D94" s="1072">
        <v>0.75</v>
      </c>
      <c r="E94" s="1072">
        <v>0.6875</v>
      </c>
      <c r="F94" s="1068"/>
      <c r="G94" s="1073">
        <v>0</v>
      </c>
      <c r="H94" s="1073">
        <v>0.7</v>
      </c>
      <c r="I94" s="1069"/>
      <c r="J94" s="1069">
        <v>24</v>
      </c>
      <c r="K94" s="1073">
        <f t="shared" si="4"/>
        <v>0.5</v>
      </c>
      <c r="L94" s="1472"/>
      <c r="M94" s="821"/>
      <c r="N94" s="1060"/>
      <c r="O94" s="1060"/>
    </row>
    <row r="95" spans="1:15" s="8" customFormat="1">
      <c r="A95" s="1470"/>
      <c r="B95" s="1473"/>
      <c r="C95" s="1075" t="s">
        <v>1070</v>
      </c>
      <c r="D95" s="1072">
        <v>0.75</v>
      </c>
      <c r="E95" s="1072">
        <v>0.6875</v>
      </c>
      <c r="F95" s="1068"/>
      <c r="G95" s="1073">
        <v>0</v>
      </c>
      <c r="H95" s="1073">
        <v>0.7</v>
      </c>
      <c r="I95" s="1069"/>
      <c r="J95" s="1069">
        <v>24</v>
      </c>
      <c r="K95" s="1073">
        <f t="shared" si="4"/>
        <v>0.5</v>
      </c>
      <c r="L95" s="1472"/>
      <c r="M95" s="821"/>
      <c r="N95" s="1060"/>
      <c r="O95" s="1060"/>
    </row>
    <row r="96" spans="1:15" s="8" customFormat="1">
      <c r="A96" s="1470"/>
      <c r="B96" s="1473"/>
      <c r="C96" s="571" t="s">
        <v>441</v>
      </c>
      <c r="D96" s="1072">
        <v>0.75</v>
      </c>
      <c r="E96" s="1072">
        <v>0.6875</v>
      </c>
      <c r="F96" s="1068"/>
      <c r="G96" s="1073">
        <v>0</v>
      </c>
      <c r="H96" s="1073">
        <v>0.6</v>
      </c>
      <c r="I96" s="1069"/>
      <c r="J96" s="1069">
        <v>23</v>
      </c>
      <c r="K96" s="1073">
        <f t="shared" si="4"/>
        <v>0.47916666666666669</v>
      </c>
      <c r="L96" s="1472"/>
      <c r="M96" s="821"/>
      <c r="N96" s="1060"/>
      <c r="O96" s="1060"/>
    </row>
    <row r="97" spans="1:15" s="8" customFormat="1">
      <c r="A97" s="405"/>
      <c r="B97" s="1077"/>
      <c r="C97" s="571"/>
      <c r="D97" s="1068"/>
      <c r="E97" s="1068"/>
      <c r="F97" s="1068"/>
      <c r="G97" s="1069"/>
      <c r="H97" s="1069"/>
      <c r="I97" s="1069"/>
      <c r="J97" s="1069"/>
      <c r="K97" s="1069"/>
      <c r="L97" s="1074"/>
      <c r="M97" s="821"/>
      <c r="N97" s="1060"/>
      <c r="O97" s="1060"/>
    </row>
    <row r="98" spans="1:15" s="8" customFormat="1">
      <c r="A98" s="405"/>
      <c r="B98" s="1077"/>
      <c r="C98" s="571"/>
      <c r="D98" s="1068"/>
      <c r="E98" s="1068"/>
      <c r="F98" s="1068"/>
      <c r="G98" s="1069"/>
      <c r="H98" s="1069"/>
      <c r="I98" s="1069"/>
      <c r="J98" s="1069"/>
      <c r="K98" s="1069"/>
      <c r="L98" s="1074"/>
      <c r="M98" s="821"/>
      <c r="N98" s="1060"/>
      <c r="O98" s="1060"/>
    </row>
    <row r="99" spans="1:15" s="8" customFormat="1" ht="60">
      <c r="A99" s="1473" t="s">
        <v>1065</v>
      </c>
      <c r="B99" s="1473" t="s">
        <v>989</v>
      </c>
      <c r="C99" s="571" t="s">
        <v>1045</v>
      </c>
      <c r="D99" s="1072">
        <v>0.375</v>
      </c>
      <c r="E99" s="1072">
        <v>0.25</v>
      </c>
      <c r="F99" s="1068"/>
      <c r="G99" s="1073">
        <v>7.1428571428571425E-2</v>
      </c>
      <c r="H99" s="1073">
        <v>0.2</v>
      </c>
      <c r="I99" s="1069"/>
      <c r="J99" s="1069">
        <v>10</v>
      </c>
      <c r="K99" s="1073">
        <f t="shared" ref="K99:K111" si="5">J99/48</f>
        <v>0.20833333333333334</v>
      </c>
      <c r="L99" s="1078" t="s">
        <v>1205</v>
      </c>
      <c r="M99" s="821"/>
      <c r="N99" s="1060"/>
      <c r="O99" s="1060"/>
    </row>
    <row r="100" spans="1:15" s="8" customFormat="1" ht="25.5">
      <c r="A100" s="1473"/>
      <c r="B100" s="1473"/>
      <c r="C100" s="571" t="s">
        <v>1042</v>
      </c>
      <c r="D100" s="1072">
        <v>0.125</v>
      </c>
      <c r="E100" s="1072">
        <v>6.25E-2</v>
      </c>
      <c r="F100" s="1068"/>
      <c r="G100" s="1073">
        <v>0</v>
      </c>
      <c r="H100" s="1073">
        <v>0.2</v>
      </c>
      <c r="I100" s="1069"/>
      <c r="J100" s="1069">
        <v>4</v>
      </c>
      <c r="K100" s="1073">
        <f t="shared" si="5"/>
        <v>8.3333333333333329E-2</v>
      </c>
      <c r="L100" s="1078" t="s">
        <v>1414</v>
      </c>
      <c r="M100" s="821"/>
      <c r="N100" s="1060"/>
      <c r="O100" s="1060"/>
    </row>
    <row r="101" spans="1:15" s="8" customFormat="1" ht="24">
      <c r="A101" s="1473"/>
      <c r="B101" s="1473"/>
      <c r="C101" s="571" t="s">
        <v>1044</v>
      </c>
      <c r="D101" s="1072">
        <v>0.125</v>
      </c>
      <c r="E101" s="1072">
        <v>6.25E-2</v>
      </c>
      <c r="F101" s="1068"/>
      <c r="G101" s="1073">
        <v>0</v>
      </c>
      <c r="H101" s="1073">
        <v>0.6</v>
      </c>
      <c r="I101" s="1069"/>
      <c r="J101" s="1069">
        <v>8</v>
      </c>
      <c r="K101" s="1073">
        <f t="shared" si="5"/>
        <v>0.16666666666666666</v>
      </c>
      <c r="L101" s="1078" t="s">
        <v>1415</v>
      </c>
      <c r="M101" s="821"/>
      <c r="N101" s="1060"/>
      <c r="O101" s="1060"/>
    </row>
    <row r="102" spans="1:15" s="8" customFormat="1" ht="24">
      <c r="A102" s="1473"/>
      <c r="B102" s="1473"/>
      <c r="C102" s="571" t="s">
        <v>1072</v>
      </c>
      <c r="D102" s="1072">
        <v>0.125</v>
      </c>
      <c r="E102" s="1072">
        <v>6.25E-2</v>
      </c>
      <c r="F102" s="1068"/>
      <c r="G102" s="1073">
        <v>0</v>
      </c>
      <c r="H102" s="1073">
        <v>0.6</v>
      </c>
      <c r="I102" s="1069"/>
      <c r="J102" s="1069">
        <v>8</v>
      </c>
      <c r="K102" s="1073">
        <f t="shared" si="5"/>
        <v>0.16666666666666666</v>
      </c>
      <c r="L102" s="1078" t="s">
        <v>1414</v>
      </c>
      <c r="M102" s="821"/>
      <c r="N102" s="1060"/>
      <c r="O102" s="1060"/>
    </row>
    <row r="103" spans="1:15" s="8" customFormat="1" ht="24">
      <c r="A103" s="1473"/>
      <c r="B103" s="1076"/>
      <c r="C103" s="571" t="s">
        <v>1416</v>
      </c>
      <c r="D103" s="1072">
        <v>0.125</v>
      </c>
      <c r="E103" s="1072">
        <v>6.25E-2</v>
      </c>
      <c r="F103" s="1068"/>
      <c r="G103" s="1073">
        <v>0</v>
      </c>
      <c r="H103" s="1073">
        <v>0.8</v>
      </c>
      <c r="I103" s="1069"/>
      <c r="J103" s="1069">
        <v>10</v>
      </c>
      <c r="K103" s="1073">
        <f t="shared" si="5"/>
        <v>0.20833333333333334</v>
      </c>
      <c r="L103" s="1078" t="s">
        <v>1417</v>
      </c>
      <c r="M103" s="821"/>
      <c r="N103" s="1060"/>
      <c r="O103" s="1060"/>
    </row>
    <row r="104" spans="1:15" s="8" customFormat="1" ht="24">
      <c r="A104" s="1473"/>
      <c r="B104" s="1076"/>
      <c r="C104" s="571" t="s">
        <v>1073</v>
      </c>
      <c r="D104" s="1072">
        <v>0.125</v>
      </c>
      <c r="E104" s="1072">
        <v>6.25E-2</v>
      </c>
      <c r="F104" s="1068"/>
      <c r="G104" s="1073">
        <v>0</v>
      </c>
      <c r="H104" s="1073">
        <v>0.6</v>
      </c>
      <c r="I104" s="1069"/>
      <c r="J104" s="1069">
        <v>8</v>
      </c>
      <c r="K104" s="1073">
        <f t="shared" si="5"/>
        <v>0.16666666666666666</v>
      </c>
      <c r="L104" s="1078" t="s">
        <v>1418</v>
      </c>
      <c r="M104" s="821"/>
      <c r="N104" s="1060"/>
      <c r="O104" s="1060"/>
    </row>
    <row r="105" spans="1:15" s="8" customFormat="1" ht="25.5">
      <c r="A105" s="1473"/>
      <c r="B105" s="1076"/>
      <c r="C105" s="571" t="s">
        <v>1062</v>
      </c>
      <c r="D105" s="1072">
        <v>0.125</v>
      </c>
      <c r="E105" s="1072">
        <v>6.25E-2</v>
      </c>
      <c r="F105" s="1068"/>
      <c r="G105" s="1073">
        <v>0</v>
      </c>
      <c r="H105" s="1073">
        <v>0.6</v>
      </c>
      <c r="I105" s="1069"/>
      <c r="J105" s="1069">
        <v>8</v>
      </c>
      <c r="K105" s="1073">
        <f t="shared" si="5"/>
        <v>0.16666666666666666</v>
      </c>
      <c r="L105" s="1078" t="s">
        <v>1419</v>
      </c>
      <c r="M105" s="821"/>
      <c r="N105" s="1060"/>
      <c r="O105" s="1060"/>
    </row>
    <row r="106" spans="1:15" s="8" customFormat="1" ht="24">
      <c r="A106" s="1473"/>
      <c r="B106" s="1473" t="s">
        <v>1436</v>
      </c>
      <c r="C106" s="571" t="s">
        <v>990</v>
      </c>
      <c r="D106" s="1072">
        <v>0.25</v>
      </c>
      <c r="E106" s="1072">
        <v>0.125</v>
      </c>
      <c r="F106" s="1068"/>
      <c r="G106" s="1073">
        <v>0</v>
      </c>
      <c r="H106" s="1073">
        <v>0.7</v>
      </c>
      <c r="I106" s="1069"/>
      <c r="J106" s="1069">
        <v>11</v>
      </c>
      <c r="K106" s="1073">
        <f t="shared" si="5"/>
        <v>0.22916666666666666</v>
      </c>
      <c r="L106" s="1078" t="s">
        <v>1204</v>
      </c>
      <c r="M106" s="821"/>
      <c r="N106" s="1060"/>
      <c r="O106" s="1060"/>
    </row>
    <row r="107" spans="1:15" s="8" customFormat="1" ht="24">
      <c r="A107" s="1473"/>
      <c r="B107" s="1473"/>
      <c r="C107" s="571" t="s">
        <v>1043</v>
      </c>
      <c r="D107" s="1072">
        <v>0.25</v>
      </c>
      <c r="E107" s="1072">
        <v>0.125</v>
      </c>
      <c r="F107" s="1068"/>
      <c r="G107" s="1073">
        <v>0</v>
      </c>
      <c r="H107" s="1073">
        <v>0.6</v>
      </c>
      <c r="I107" s="1069"/>
      <c r="J107" s="1069">
        <v>10</v>
      </c>
      <c r="K107" s="1073">
        <f t="shared" si="5"/>
        <v>0.20833333333333334</v>
      </c>
      <c r="L107" s="1078" t="s">
        <v>1203</v>
      </c>
      <c r="M107" s="821"/>
      <c r="N107" s="1060"/>
      <c r="O107" s="1060"/>
    </row>
    <row r="108" spans="1:15" s="8" customFormat="1" ht="24">
      <c r="A108" s="1473"/>
      <c r="B108" s="1473"/>
      <c r="C108" s="571" t="s">
        <v>992</v>
      </c>
      <c r="D108" s="1072">
        <v>0.25</v>
      </c>
      <c r="E108" s="1072">
        <v>0.4375</v>
      </c>
      <c r="F108" s="1068"/>
      <c r="G108" s="1073">
        <v>0</v>
      </c>
      <c r="H108" s="1073">
        <v>0.4</v>
      </c>
      <c r="I108" s="1069"/>
      <c r="J108" s="1069">
        <v>13</v>
      </c>
      <c r="K108" s="1073">
        <f t="shared" si="5"/>
        <v>0.27083333333333331</v>
      </c>
      <c r="L108" s="1078" t="s">
        <v>1202</v>
      </c>
      <c r="M108" s="821"/>
      <c r="N108" s="1060"/>
      <c r="O108" s="1060"/>
    </row>
    <row r="109" spans="1:15" s="8" customFormat="1" ht="24">
      <c r="A109" s="1473"/>
      <c r="B109" s="1473"/>
      <c r="C109" s="571" t="s">
        <v>1061</v>
      </c>
      <c r="D109" s="1072">
        <v>0.25</v>
      </c>
      <c r="E109" s="1072">
        <v>0.25</v>
      </c>
      <c r="F109" s="1068"/>
      <c r="G109" s="1073">
        <v>0</v>
      </c>
      <c r="H109" s="1073">
        <v>0.7</v>
      </c>
      <c r="I109" s="1069"/>
      <c r="J109" s="1069">
        <v>13</v>
      </c>
      <c r="K109" s="1073">
        <f t="shared" si="5"/>
        <v>0.27083333333333331</v>
      </c>
      <c r="L109" s="1078" t="s">
        <v>1201</v>
      </c>
      <c r="M109" s="821"/>
      <c r="N109" s="1060"/>
      <c r="O109" s="1060"/>
    </row>
    <row r="110" spans="1:15" s="8" customFormat="1" ht="24">
      <c r="A110" s="1473"/>
      <c r="B110" s="1473"/>
      <c r="C110" s="571" t="s">
        <v>991</v>
      </c>
      <c r="D110" s="1072">
        <v>0.25</v>
      </c>
      <c r="E110" s="1072">
        <v>0.125</v>
      </c>
      <c r="F110" s="1068"/>
      <c r="G110" s="1073">
        <v>0</v>
      </c>
      <c r="H110" s="1073">
        <v>0.8</v>
      </c>
      <c r="I110" s="1069"/>
      <c r="J110" s="1069">
        <v>12</v>
      </c>
      <c r="K110" s="1073">
        <f t="shared" si="5"/>
        <v>0.25</v>
      </c>
      <c r="L110" s="1078" t="s">
        <v>1200</v>
      </c>
      <c r="M110" s="821"/>
      <c r="N110" s="1060"/>
      <c r="O110" s="1060"/>
    </row>
    <row r="111" spans="1:15" s="8" customFormat="1" ht="24">
      <c r="A111" s="1473"/>
      <c r="B111" s="1473"/>
      <c r="C111" s="1069" t="s">
        <v>1066</v>
      </c>
      <c r="D111" s="1072">
        <v>0.25</v>
      </c>
      <c r="E111" s="1072">
        <v>0.125</v>
      </c>
      <c r="F111" s="1068"/>
      <c r="G111" s="1073">
        <v>0</v>
      </c>
      <c r="H111" s="1073">
        <v>0.4</v>
      </c>
      <c r="I111" s="1069"/>
      <c r="J111" s="1069">
        <v>8</v>
      </c>
      <c r="K111" s="1073">
        <f t="shared" si="5"/>
        <v>0.16666666666666666</v>
      </c>
      <c r="L111" s="1078" t="s">
        <v>1199</v>
      </c>
      <c r="M111" s="821"/>
      <c r="N111" s="1060"/>
      <c r="O111" s="1060"/>
    </row>
    <row r="112" spans="1:15" s="8" customFormat="1">
      <c r="A112" s="405"/>
      <c r="B112" s="1077"/>
      <c r="C112" s="571"/>
      <c r="D112" s="1068"/>
      <c r="E112" s="1068"/>
      <c r="F112" s="1068"/>
      <c r="G112" s="1069"/>
      <c r="H112" s="1069"/>
      <c r="I112" s="1069"/>
      <c r="J112" s="1069"/>
      <c r="K112" s="1069"/>
      <c r="L112" s="1074"/>
      <c r="M112" s="821"/>
      <c r="N112" s="1060"/>
      <c r="O112" s="1060"/>
    </row>
    <row r="113" spans="1:15" s="8" customFormat="1">
      <c r="A113" s="405"/>
      <c r="B113" s="1077"/>
      <c r="C113" s="571"/>
      <c r="D113" s="1068"/>
      <c r="E113" s="1068"/>
      <c r="F113" s="1068"/>
      <c r="G113" s="1069"/>
      <c r="H113" s="1069"/>
      <c r="I113" s="1069"/>
      <c r="J113" s="1069"/>
      <c r="K113" s="1069"/>
      <c r="L113" s="1074"/>
      <c r="M113" s="821"/>
      <c r="N113" s="1060"/>
      <c r="O113" s="1060"/>
    </row>
    <row r="114" spans="1:15" s="8" customFormat="1" ht="48">
      <c r="A114" s="1470" t="s">
        <v>565</v>
      </c>
      <c r="B114" s="1076" t="s">
        <v>1008</v>
      </c>
      <c r="C114" s="571" t="s">
        <v>1437</v>
      </c>
      <c r="D114" s="1072">
        <v>0.375</v>
      </c>
      <c r="E114" s="1072">
        <v>0.6875</v>
      </c>
      <c r="F114" s="1068"/>
      <c r="G114" s="1073">
        <v>7.1428571428571425E-2</v>
      </c>
      <c r="H114" s="1073">
        <v>0.5</v>
      </c>
      <c r="I114" s="1069"/>
      <c r="J114" s="1069">
        <v>20</v>
      </c>
      <c r="K114" s="1073">
        <f t="shared" ref="K114:K131" si="6">J114/48</f>
        <v>0.41666666666666669</v>
      </c>
      <c r="L114" s="1078" t="s">
        <v>1198</v>
      </c>
      <c r="M114" s="821"/>
      <c r="N114" s="1060"/>
      <c r="O114" s="1060"/>
    </row>
    <row r="115" spans="1:15" s="8" customFormat="1">
      <c r="A115" s="1470"/>
      <c r="B115" s="1473" t="s">
        <v>1080</v>
      </c>
      <c r="C115" s="571" t="s">
        <v>1050</v>
      </c>
      <c r="D115" s="1072">
        <v>0.375</v>
      </c>
      <c r="E115" s="1072">
        <v>0.6875</v>
      </c>
      <c r="F115" s="1068"/>
      <c r="G115" s="1073">
        <v>0.21428571428571427</v>
      </c>
      <c r="H115" s="1073">
        <v>0.6</v>
      </c>
      <c r="I115" s="1069"/>
      <c r="J115" s="1069">
        <v>23</v>
      </c>
      <c r="K115" s="1073">
        <f t="shared" si="6"/>
        <v>0.47916666666666669</v>
      </c>
      <c r="L115" s="1472" t="s">
        <v>1197</v>
      </c>
      <c r="M115" s="821"/>
      <c r="N115" s="1060"/>
      <c r="O115" s="1060"/>
    </row>
    <row r="116" spans="1:15" s="8" customFormat="1">
      <c r="A116" s="1470"/>
      <c r="B116" s="1473"/>
      <c r="C116" s="571" t="s">
        <v>1049</v>
      </c>
      <c r="D116" s="1072">
        <v>0.25</v>
      </c>
      <c r="E116" s="1072">
        <v>0.6875</v>
      </c>
      <c r="F116" s="1068"/>
      <c r="G116" s="1073">
        <v>0.14285714285714285</v>
      </c>
      <c r="H116" s="1073">
        <v>0.5</v>
      </c>
      <c r="I116" s="1069"/>
      <c r="J116" s="1069">
        <v>20</v>
      </c>
      <c r="K116" s="1073">
        <f t="shared" si="6"/>
        <v>0.41666666666666669</v>
      </c>
      <c r="L116" s="1472"/>
      <c r="M116" s="821"/>
      <c r="N116" s="1060"/>
      <c r="O116" s="1060"/>
    </row>
    <row r="117" spans="1:15" s="8" customFormat="1">
      <c r="A117" s="1470"/>
      <c r="B117" s="1473"/>
      <c r="C117" s="571" t="s">
        <v>1048</v>
      </c>
      <c r="D117" s="1072">
        <v>0.375</v>
      </c>
      <c r="E117" s="1072">
        <v>0.625</v>
      </c>
      <c r="F117" s="1068"/>
      <c r="G117" s="1073">
        <v>0.14285714285714285</v>
      </c>
      <c r="H117" s="1073">
        <v>0.7</v>
      </c>
      <c r="I117" s="1069"/>
      <c r="J117" s="1069">
        <v>22</v>
      </c>
      <c r="K117" s="1073">
        <f t="shared" si="6"/>
        <v>0.45833333333333331</v>
      </c>
      <c r="L117" s="1472"/>
      <c r="M117" s="821"/>
      <c r="N117" s="1060"/>
      <c r="O117" s="1060"/>
    </row>
    <row r="118" spans="1:15" s="8" customFormat="1">
      <c r="A118" s="1470"/>
      <c r="B118" s="1473"/>
      <c r="C118" s="571" t="s">
        <v>1447</v>
      </c>
      <c r="D118" s="1072">
        <v>0.375</v>
      </c>
      <c r="E118" s="1072">
        <v>0.625</v>
      </c>
      <c r="F118" s="1068"/>
      <c r="G118" s="1073">
        <v>7.1428571428571425E-2</v>
      </c>
      <c r="H118" s="1073">
        <v>0.5</v>
      </c>
      <c r="I118" s="1069"/>
      <c r="J118" s="1069">
        <v>19</v>
      </c>
      <c r="K118" s="1073">
        <f t="shared" si="6"/>
        <v>0.39583333333333331</v>
      </c>
      <c r="L118" s="1472"/>
      <c r="M118" s="821"/>
      <c r="N118" s="1060"/>
      <c r="O118" s="1060"/>
    </row>
    <row r="119" spans="1:15" s="8" customFormat="1">
      <c r="A119" s="1470"/>
      <c r="B119" s="1473"/>
      <c r="C119" s="571" t="s">
        <v>1063</v>
      </c>
      <c r="D119" s="1072">
        <v>0.25</v>
      </c>
      <c r="E119" s="1072">
        <v>0.4375</v>
      </c>
      <c r="F119" s="1068"/>
      <c r="G119" s="1073">
        <v>7.1428571428571425E-2</v>
      </c>
      <c r="H119" s="1073">
        <v>0.5</v>
      </c>
      <c r="I119" s="1069"/>
      <c r="J119" s="1069">
        <v>15</v>
      </c>
      <c r="K119" s="1073">
        <f t="shared" si="6"/>
        <v>0.3125</v>
      </c>
      <c r="L119" s="1472"/>
      <c r="M119" s="821"/>
      <c r="N119" s="1060"/>
      <c r="O119" s="1060"/>
    </row>
    <row r="120" spans="1:15" s="8" customFormat="1" ht="48">
      <c r="A120" s="1470"/>
      <c r="B120" s="1470" t="s">
        <v>1438</v>
      </c>
      <c r="C120" s="571" t="s">
        <v>1347</v>
      </c>
      <c r="D120" s="1072">
        <v>0.5</v>
      </c>
      <c r="E120" s="1072">
        <v>0.25</v>
      </c>
      <c r="F120" s="1068"/>
      <c r="G120" s="1073">
        <v>0</v>
      </c>
      <c r="H120" s="1073">
        <v>0</v>
      </c>
      <c r="I120" s="1069"/>
      <c r="J120" s="1069">
        <v>8</v>
      </c>
      <c r="K120" s="1073">
        <f t="shared" si="6"/>
        <v>0.16666666666666666</v>
      </c>
      <c r="L120" s="1078" t="s">
        <v>1348</v>
      </c>
      <c r="M120" s="821"/>
      <c r="N120" s="1060"/>
      <c r="O120" s="1060"/>
    </row>
    <row r="121" spans="1:15" s="8" customFormat="1" ht="36">
      <c r="A121" s="1470"/>
      <c r="B121" s="1470"/>
      <c r="C121" s="571" t="s">
        <v>1005</v>
      </c>
      <c r="D121" s="1072">
        <v>0.5</v>
      </c>
      <c r="E121" s="1072">
        <v>0.25</v>
      </c>
      <c r="F121" s="1068"/>
      <c r="G121" s="1073">
        <v>7.1428571428571425E-2</v>
      </c>
      <c r="H121" s="1073">
        <v>0.4</v>
      </c>
      <c r="I121" s="1069"/>
      <c r="J121" s="1069">
        <v>13</v>
      </c>
      <c r="K121" s="1073">
        <f t="shared" si="6"/>
        <v>0.27083333333333331</v>
      </c>
      <c r="L121" s="1078" t="s">
        <v>575</v>
      </c>
      <c r="M121" s="821"/>
      <c r="N121" s="1060"/>
      <c r="O121" s="1060"/>
    </row>
    <row r="122" spans="1:15" s="8" customFormat="1" ht="25.5">
      <c r="A122" s="1470"/>
      <c r="B122" s="1470"/>
      <c r="C122" s="571" t="s">
        <v>953</v>
      </c>
      <c r="D122" s="1072">
        <v>0.5</v>
      </c>
      <c r="E122" s="1072">
        <v>0.5</v>
      </c>
      <c r="F122" s="1068"/>
      <c r="G122" s="1073">
        <v>7.1428571428571425E-2</v>
      </c>
      <c r="H122" s="1073">
        <v>0.3</v>
      </c>
      <c r="I122" s="1069"/>
      <c r="J122" s="1069">
        <v>16</v>
      </c>
      <c r="K122" s="1073">
        <f t="shared" si="6"/>
        <v>0.33333333333333331</v>
      </c>
      <c r="L122" s="1078" t="s">
        <v>1022</v>
      </c>
      <c r="M122" s="821"/>
      <c r="N122" s="1060"/>
      <c r="O122" s="1060"/>
    </row>
    <row r="123" spans="1:15" s="8" customFormat="1" ht="60">
      <c r="A123" s="1470"/>
      <c r="B123" s="1470"/>
      <c r="C123" s="571" t="s">
        <v>580</v>
      </c>
      <c r="D123" s="1072">
        <v>0.5</v>
      </c>
      <c r="E123" s="1072">
        <v>0.3125</v>
      </c>
      <c r="F123" s="1068"/>
      <c r="G123" s="1073">
        <v>7.1428571428571425E-2</v>
      </c>
      <c r="H123" s="1073">
        <v>0.4</v>
      </c>
      <c r="I123" s="1069"/>
      <c r="J123" s="1069">
        <v>14</v>
      </c>
      <c r="K123" s="1073">
        <f t="shared" si="6"/>
        <v>0.29166666666666669</v>
      </c>
      <c r="L123" s="1078" t="s">
        <v>1420</v>
      </c>
      <c r="M123" s="821"/>
      <c r="N123" s="1060"/>
      <c r="O123" s="1060"/>
    </row>
    <row r="124" spans="1:15" s="8" customFormat="1" ht="60">
      <c r="A124" s="1470"/>
      <c r="B124" s="1470"/>
      <c r="C124" s="571" t="s">
        <v>1081</v>
      </c>
      <c r="D124" s="1072">
        <v>0.25</v>
      </c>
      <c r="E124" s="1072">
        <v>0.5</v>
      </c>
      <c r="F124" s="1068"/>
      <c r="G124" s="1073">
        <v>0</v>
      </c>
      <c r="H124" s="1073">
        <v>0.4</v>
      </c>
      <c r="I124" s="1069"/>
      <c r="J124" s="1069">
        <v>14</v>
      </c>
      <c r="K124" s="1073">
        <f t="shared" si="6"/>
        <v>0.29166666666666669</v>
      </c>
      <c r="L124" s="1078" t="s">
        <v>1194</v>
      </c>
      <c r="M124" s="821"/>
      <c r="N124" s="1060"/>
      <c r="O124" s="1060"/>
    </row>
    <row r="125" spans="1:15" s="8" customFormat="1" ht="48">
      <c r="A125" s="1470"/>
      <c r="B125" s="1470"/>
      <c r="C125" s="571" t="s">
        <v>1082</v>
      </c>
      <c r="D125" s="1072">
        <v>0.375</v>
      </c>
      <c r="E125" s="1072">
        <v>0.3125</v>
      </c>
      <c r="F125" s="1068"/>
      <c r="G125" s="1073">
        <v>7.1428571428571425E-2</v>
      </c>
      <c r="H125" s="1073">
        <v>0.6</v>
      </c>
      <c r="I125" s="1069"/>
      <c r="J125" s="1069">
        <v>15</v>
      </c>
      <c r="K125" s="1073">
        <f t="shared" si="6"/>
        <v>0.3125</v>
      </c>
      <c r="L125" s="1078" t="s">
        <v>1193</v>
      </c>
      <c r="M125" s="821"/>
      <c r="N125" s="1060"/>
      <c r="O125" s="1060"/>
    </row>
    <row r="126" spans="1:15" s="8" customFormat="1" ht="60">
      <c r="A126" s="1470"/>
      <c r="B126" s="1470"/>
      <c r="C126" s="571" t="s">
        <v>1083</v>
      </c>
      <c r="D126" s="1072">
        <v>0.25</v>
      </c>
      <c r="E126" s="1072">
        <v>0.25</v>
      </c>
      <c r="F126" s="1068"/>
      <c r="G126" s="1073">
        <v>7.1428571428571425E-2</v>
      </c>
      <c r="H126" s="1073">
        <v>0.3</v>
      </c>
      <c r="I126" s="1069"/>
      <c r="J126" s="1069">
        <v>10</v>
      </c>
      <c r="K126" s="1073">
        <f t="shared" si="6"/>
        <v>0.20833333333333334</v>
      </c>
      <c r="L126" s="1078" t="s">
        <v>1192</v>
      </c>
      <c r="M126" s="821"/>
      <c r="N126" s="1060"/>
      <c r="O126" s="1060"/>
    </row>
    <row r="127" spans="1:15" s="8" customFormat="1" ht="96">
      <c r="A127" s="1470"/>
      <c r="B127" s="1470" t="s">
        <v>1439</v>
      </c>
      <c r="C127" s="571" t="s">
        <v>1084</v>
      </c>
      <c r="D127" s="1072">
        <v>0.375</v>
      </c>
      <c r="E127" s="1072">
        <v>0.5625</v>
      </c>
      <c r="F127" s="1068"/>
      <c r="G127" s="1073">
        <v>7.1428571428571425E-2</v>
      </c>
      <c r="H127" s="1073">
        <v>0.5</v>
      </c>
      <c r="I127" s="1069"/>
      <c r="J127" s="1069">
        <v>18</v>
      </c>
      <c r="K127" s="1073">
        <f t="shared" si="6"/>
        <v>0.375</v>
      </c>
      <c r="L127" s="1078" t="s">
        <v>1421</v>
      </c>
      <c r="M127" s="821"/>
      <c r="N127" s="1060"/>
      <c r="O127" s="1060"/>
    </row>
    <row r="128" spans="1:15" s="8" customFormat="1" ht="36">
      <c r="A128" s="1470"/>
      <c r="B128" s="1470"/>
      <c r="C128" s="571" t="s">
        <v>1007</v>
      </c>
      <c r="D128" s="1072">
        <v>0.375</v>
      </c>
      <c r="E128" s="1072">
        <v>0.3125</v>
      </c>
      <c r="F128" s="1068"/>
      <c r="G128" s="1073">
        <v>0</v>
      </c>
      <c r="H128" s="1073">
        <v>0.2</v>
      </c>
      <c r="I128" s="1069"/>
      <c r="J128" s="1069">
        <v>10</v>
      </c>
      <c r="K128" s="1073">
        <f t="shared" si="6"/>
        <v>0.20833333333333334</v>
      </c>
      <c r="L128" s="1078" t="s">
        <v>1422</v>
      </c>
      <c r="M128" s="821"/>
      <c r="N128" s="1060"/>
      <c r="O128" s="1060"/>
    </row>
    <row r="129" spans="1:15" s="8" customFormat="1" ht="48">
      <c r="A129" s="1470"/>
      <c r="B129" s="1470"/>
      <c r="C129" s="571" t="s">
        <v>1056</v>
      </c>
      <c r="D129" s="1072">
        <v>0.5</v>
      </c>
      <c r="E129" s="1072">
        <v>0.25</v>
      </c>
      <c r="F129" s="1068"/>
      <c r="G129" s="1073">
        <v>0</v>
      </c>
      <c r="H129" s="1073">
        <v>0.4</v>
      </c>
      <c r="I129" s="1069"/>
      <c r="J129" s="1069">
        <v>12</v>
      </c>
      <c r="K129" s="1073">
        <f t="shared" si="6"/>
        <v>0.25</v>
      </c>
      <c r="L129" s="1078" t="s">
        <v>1195</v>
      </c>
      <c r="M129" s="821"/>
      <c r="N129" s="1060"/>
      <c r="O129" s="1060"/>
    </row>
    <row r="130" spans="1:15" s="8" customFormat="1" ht="38.25">
      <c r="A130" s="1470"/>
      <c r="B130" s="1470"/>
      <c r="C130" s="571" t="s">
        <v>1023</v>
      </c>
      <c r="D130" s="1072">
        <v>0.25</v>
      </c>
      <c r="E130" s="1072">
        <v>0.5625</v>
      </c>
      <c r="F130" s="1068"/>
      <c r="G130" s="1073">
        <v>0</v>
      </c>
      <c r="H130" s="1073">
        <v>0.4</v>
      </c>
      <c r="I130" s="1069"/>
      <c r="J130" s="1069">
        <v>15</v>
      </c>
      <c r="K130" s="1073">
        <f t="shared" si="6"/>
        <v>0.3125</v>
      </c>
      <c r="L130" s="1078" t="s">
        <v>1190</v>
      </c>
      <c r="M130" s="821"/>
      <c r="N130" s="1060"/>
      <c r="O130" s="1060"/>
    </row>
    <row r="131" spans="1:15" s="8" customFormat="1" ht="48">
      <c r="A131" s="1470"/>
      <c r="B131" s="1470"/>
      <c r="C131" s="571" t="s">
        <v>993</v>
      </c>
      <c r="D131" s="1072">
        <v>0.375</v>
      </c>
      <c r="E131" s="1072">
        <v>0.625</v>
      </c>
      <c r="F131" s="1068"/>
      <c r="G131" s="1073">
        <v>0</v>
      </c>
      <c r="H131" s="1073">
        <v>0.6</v>
      </c>
      <c r="I131" s="1069"/>
      <c r="J131" s="1069">
        <v>19</v>
      </c>
      <c r="K131" s="1073">
        <f t="shared" si="6"/>
        <v>0.39583333333333331</v>
      </c>
      <c r="L131" s="1078" t="s">
        <v>1423</v>
      </c>
      <c r="M131" s="821"/>
      <c r="N131" s="1060"/>
      <c r="O131" s="1060"/>
    </row>
    <row r="132" spans="1:15" s="8" customFormat="1">
      <c r="A132" s="405"/>
      <c r="B132" s="1077"/>
      <c r="C132" s="571"/>
      <c r="D132" s="1068"/>
      <c r="E132" s="1068"/>
      <c r="F132" s="1068"/>
      <c r="G132" s="1069"/>
      <c r="H132" s="1069"/>
      <c r="I132" s="1069"/>
      <c r="J132" s="1069"/>
      <c r="K132" s="1069"/>
      <c r="L132" s="1074"/>
      <c r="M132" s="821"/>
      <c r="N132" s="1060"/>
      <c r="O132" s="1060"/>
    </row>
    <row r="133" spans="1:15" s="8" customFormat="1">
      <c r="A133" s="405"/>
      <c r="B133" s="1077"/>
      <c r="C133" s="571"/>
      <c r="D133" s="1068"/>
      <c r="E133" s="1068"/>
      <c r="F133" s="1068"/>
      <c r="G133" s="1069"/>
      <c r="H133" s="1069"/>
      <c r="I133" s="1069"/>
      <c r="J133" s="1069"/>
      <c r="K133" s="1069"/>
      <c r="L133" s="1074"/>
      <c r="M133" s="821"/>
      <c r="N133" s="1060"/>
      <c r="O133" s="1060"/>
    </row>
    <row r="134" spans="1:15" s="8" customFormat="1" ht="96">
      <c r="A134" s="1470" t="s">
        <v>573</v>
      </c>
      <c r="B134" s="1470" t="s">
        <v>1440</v>
      </c>
      <c r="C134" s="571" t="s">
        <v>1188</v>
      </c>
      <c r="D134" s="1072">
        <v>0.375</v>
      </c>
      <c r="E134" s="1072">
        <v>0.75</v>
      </c>
      <c r="F134" s="1068"/>
      <c r="G134" s="1073">
        <v>0</v>
      </c>
      <c r="H134" s="1073">
        <v>0.4</v>
      </c>
      <c r="I134" s="1069"/>
      <c r="J134" s="1069">
        <v>19</v>
      </c>
      <c r="K134" s="1073">
        <f t="shared" ref="K134:K144" si="7">J134/48</f>
        <v>0.39583333333333331</v>
      </c>
      <c r="L134" s="1078" t="s">
        <v>1187</v>
      </c>
      <c r="M134" s="821"/>
      <c r="N134" s="1060"/>
      <c r="O134" s="1060"/>
    </row>
    <row r="135" spans="1:15" s="8" customFormat="1" ht="25.5">
      <c r="A135" s="1470"/>
      <c r="B135" s="1470"/>
      <c r="C135" s="571" t="s">
        <v>1060</v>
      </c>
      <c r="D135" s="1072">
        <v>0.375</v>
      </c>
      <c r="E135" s="1072">
        <v>6.25E-2</v>
      </c>
      <c r="F135" s="1068"/>
      <c r="G135" s="1073">
        <v>0</v>
      </c>
      <c r="H135" s="1073">
        <v>0.2</v>
      </c>
      <c r="I135" s="1069"/>
      <c r="J135" s="1069">
        <v>6</v>
      </c>
      <c r="K135" s="1073">
        <f t="shared" si="7"/>
        <v>0.125</v>
      </c>
      <c r="L135" s="1078" t="s">
        <v>1186</v>
      </c>
      <c r="M135" s="821"/>
      <c r="N135" s="1060"/>
      <c r="O135" s="1060"/>
    </row>
    <row r="136" spans="1:15" s="8" customFormat="1" ht="36">
      <c r="A136" s="1470"/>
      <c r="B136" s="1470"/>
      <c r="C136" s="571" t="s">
        <v>1009</v>
      </c>
      <c r="D136" s="1072">
        <v>0.375</v>
      </c>
      <c r="E136" s="1072">
        <v>0.5</v>
      </c>
      <c r="F136" s="1068"/>
      <c r="G136" s="1073">
        <v>0</v>
      </c>
      <c r="H136" s="1073">
        <v>0.4</v>
      </c>
      <c r="I136" s="1069"/>
      <c r="J136" s="1069">
        <v>15</v>
      </c>
      <c r="K136" s="1073">
        <f t="shared" si="7"/>
        <v>0.3125</v>
      </c>
      <c r="L136" s="1078" t="s">
        <v>1441</v>
      </c>
      <c r="M136" s="821"/>
      <c r="N136" s="1060"/>
      <c r="O136" s="1060"/>
    </row>
    <row r="137" spans="1:15" s="8" customFormat="1" ht="48">
      <c r="A137" s="1470"/>
      <c r="B137" s="1470"/>
      <c r="C137" s="571" t="s">
        <v>536</v>
      </c>
      <c r="D137" s="1072">
        <v>0.25</v>
      </c>
      <c r="E137" s="1072">
        <v>0.6875</v>
      </c>
      <c r="F137" s="1068"/>
      <c r="G137" s="1073">
        <v>7.1428571428571425E-2</v>
      </c>
      <c r="H137" s="1073">
        <v>0.2</v>
      </c>
      <c r="I137" s="1069"/>
      <c r="J137" s="1069">
        <v>16</v>
      </c>
      <c r="K137" s="1073">
        <f t="shared" si="7"/>
        <v>0.33333333333333331</v>
      </c>
      <c r="L137" s="1074" t="s">
        <v>1185</v>
      </c>
      <c r="M137" s="821"/>
      <c r="N137" s="1060"/>
      <c r="O137" s="1060"/>
    </row>
    <row r="138" spans="1:15" s="8" customFormat="1">
      <c r="A138" s="1470"/>
      <c r="B138" s="1470"/>
      <c r="C138" s="571" t="s">
        <v>1029</v>
      </c>
      <c r="D138" s="1072">
        <v>0.375</v>
      </c>
      <c r="E138" s="1072">
        <v>0.5</v>
      </c>
      <c r="F138" s="1068"/>
      <c r="G138" s="1073">
        <v>0</v>
      </c>
      <c r="H138" s="1073">
        <v>0.4</v>
      </c>
      <c r="I138" s="1069"/>
      <c r="J138" s="1069">
        <v>15</v>
      </c>
      <c r="K138" s="1073">
        <f t="shared" si="7"/>
        <v>0.3125</v>
      </c>
      <c r="L138" s="1471" t="s">
        <v>1184</v>
      </c>
      <c r="M138" s="821"/>
      <c r="N138" s="1060"/>
      <c r="O138" s="1060"/>
    </row>
    <row r="139" spans="1:15" s="8" customFormat="1">
      <c r="A139" s="1470"/>
      <c r="B139" s="1470"/>
      <c r="C139" s="571" t="s">
        <v>1030</v>
      </c>
      <c r="D139" s="1072">
        <v>0.25</v>
      </c>
      <c r="E139" s="1072">
        <v>0.3125</v>
      </c>
      <c r="F139" s="1068"/>
      <c r="G139" s="1073">
        <v>0</v>
      </c>
      <c r="H139" s="1073">
        <v>0.3</v>
      </c>
      <c r="I139" s="1069"/>
      <c r="J139" s="1069">
        <v>10</v>
      </c>
      <c r="K139" s="1073">
        <f t="shared" si="7"/>
        <v>0.20833333333333334</v>
      </c>
      <c r="L139" s="1471"/>
      <c r="M139" s="821"/>
      <c r="N139" s="1060"/>
      <c r="O139" s="1060"/>
    </row>
    <row r="140" spans="1:15" s="8" customFormat="1" ht="24">
      <c r="A140" s="1470"/>
      <c r="B140" s="1470"/>
      <c r="C140" s="571" t="s">
        <v>1031</v>
      </c>
      <c r="D140" s="1072">
        <v>0.25</v>
      </c>
      <c r="E140" s="1072">
        <v>0.6875</v>
      </c>
      <c r="F140" s="1068"/>
      <c r="G140" s="1073">
        <v>0</v>
      </c>
      <c r="H140" s="1073">
        <v>0</v>
      </c>
      <c r="I140" s="1069"/>
      <c r="J140" s="1069">
        <v>13</v>
      </c>
      <c r="K140" s="1073">
        <f t="shared" si="7"/>
        <v>0.27083333333333331</v>
      </c>
      <c r="L140" s="1074" t="s">
        <v>1183</v>
      </c>
      <c r="M140" s="821"/>
      <c r="N140" s="1060"/>
      <c r="O140" s="1060"/>
    </row>
    <row r="141" spans="1:15" s="8" customFormat="1" ht="36">
      <c r="A141" s="1470"/>
      <c r="B141" s="1470"/>
      <c r="C141" s="571" t="s">
        <v>994</v>
      </c>
      <c r="D141" s="1072">
        <v>0.375</v>
      </c>
      <c r="E141" s="1072">
        <v>0.625</v>
      </c>
      <c r="F141" s="1068"/>
      <c r="G141" s="1073">
        <v>0</v>
      </c>
      <c r="H141" s="1073">
        <v>0.2</v>
      </c>
      <c r="I141" s="1069"/>
      <c r="J141" s="1069">
        <v>15</v>
      </c>
      <c r="K141" s="1073">
        <f t="shared" si="7"/>
        <v>0.3125</v>
      </c>
      <c r="L141" s="1078" t="s">
        <v>653</v>
      </c>
      <c r="M141" s="821"/>
      <c r="N141" s="1060"/>
      <c r="O141" s="1060"/>
    </row>
    <row r="142" spans="1:15" s="8" customFormat="1" ht="24">
      <c r="A142" s="1470"/>
      <c r="B142" s="1470"/>
      <c r="C142" s="571" t="s">
        <v>1342</v>
      </c>
      <c r="D142" s="1072">
        <v>0.25</v>
      </c>
      <c r="E142" s="1072">
        <v>0.375</v>
      </c>
      <c r="F142" s="1068"/>
      <c r="G142" s="1073">
        <v>0</v>
      </c>
      <c r="H142" s="1073">
        <v>0.2</v>
      </c>
      <c r="I142" s="1069"/>
      <c r="J142" s="1069">
        <v>10</v>
      </c>
      <c r="K142" s="1073">
        <f t="shared" si="7"/>
        <v>0.20833333333333334</v>
      </c>
      <c r="L142" s="1078" t="s">
        <v>1343</v>
      </c>
      <c r="M142" s="821"/>
      <c r="N142" s="1060"/>
      <c r="O142" s="1060"/>
    </row>
    <row r="143" spans="1:15" s="8" customFormat="1" ht="48">
      <c r="A143" s="1470"/>
      <c r="B143" s="1470"/>
      <c r="C143" s="571" t="s">
        <v>1463</v>
      </c>
      <c r="D143" s="1072">
        <v>0.5</v>
      </c>
      <c r="E143" s="1072">
        <v>0.4375</v>
      </c>
      <c r="F143" s="1068"/>
      <c r="G143" s="1073">
        <v>0</v>
      </c>
      <c r="H143" s="1073">
        <v>0</v>
      </c>
      <c r="I143" s="1069"/>
      <c r="J143" s="1069">
        <v>11</v>
      </c>
      <c r="K143" s="1073">
        <f t="shared" si="7"/>
        <v>0.22916666666666666</v>
      </c>
      <c r="L143" s="1078" t="s">
        <v>1641</v>
      </c>
      <c r="M143" s="821"/>
      <c r="N143" s="1060"/>
      <c r="O143" s="1060"/>
    </row>
    <row r="144" spans="1:15" s="8" customFormat="1" ht="25.5">
      <c r="A144" s="1470"/>
      <c r="B144" s="1470"/>
      <c r="C144" s="571" t="s">
        <v>964</v>
      </c>
      <c r="D144" s="1072">
        <v>0.25</v>
      </c>
      <c r="E144" s="1072">
        <v>0.375</v>
      </c>
      <c r="F144" s="1068"/>
      <c r="G144" s="1073">
        <v>0</v>
      </c>
      <c r="H144" s="1073">
        <v>0</v>
      </c>
      <c r="I144" s="1069"/>
      <c r="J144" s="1069">
        <v>8</v>
      </c>
      <c r="K144" s="1073">
        <f t="shared" si="7"/>
        <v>0.16666666666666666</v>
      </c>
      <c r="L144" s="1078" t="s">
        <v>1182</v>
      </c>
      <c r="M144" s="821"/>
      <c r="N144" s="1060"/>
      <c r="O144" s="1060"/>
    </row>
    <row r="145" spans="1:15" s="8" customFormat="1">
      <c r="A145" s="405"/>
      <c r="B145" s="1077"/>
      <c r="C145" s="571"/>
      <c r="D145" s="1068"/>
      <c r="E145" s="1068"/>
      <c r="F145" s="1068"/>
      <c r="G145" s="1069"/>
      <c r="H145" s="1069"/>
      <c r="I145" s="1069"/>
      <c r="J145" s="1069"/>
      <c r="K145" s="1069"/>
      <c r="L145" s="1074"/>
      <c r="M145" s="821"/>
      <c r="N145" s="1060"/>
      <c r="O145" s="1060"/>
    </row>
    <row r="146" spans="1:15" s="8" customFormat="1">
      <c r="A146" s="405"/>
      <c r="B146" s="1077"/>
      <c r="C146" s="571"/>
      <c r="D146" s="1068"/>
      <c r="E146" s="1068"/>
      <c r="F146" s="1068"/>
      <c r="G146" s="1069"/>
      <c r="H146" s="1069"/>
      <c r="I146" s="1069"/>
      <c r="J146" s="1069"/>
      <c r="K146" s="1069"/>
      <c r="L146" s="1074"/>
      <c r="M146" s="821"/>
      <c r="N146" s="1060"/>
      <c r="O146" s="1060"/>
    </row>
    <row r="147" spans="1:15" s="8" customFormat="1" ht="38.25">
      <c r="A147" s="1470" t="s">
        <v>995</v>
      </c>
      <c r="B147" s="1076" t="s">
        <v>997</v>
      </c>
      <c r="C147" s="571"/>
      <c r="D147" s="1072">
        <v>0.375</v>
      </c>
      <c r="E147" s="1072">
        <v>6.25E-2</v>
      </c>
      <c r="F147" s="1068"/>
      <c r="G147" s="1073">
        <v>7.1428571428571425E-2</v>
      </c>
      <c r="H147" s="1073">
        <v>0.2</v>
      </c>
      <c r="I147" s="1069"/>
      <c r="J147" s="1069">
        <v>7</v>
      </c>
      <c r="K147" s="1073">
        <f t="shared" ref="K147:K149" si="8">J147/48</f>
        <v>0.14583333333333334</v>
      </c>
      <c r="L147" s="1078" t="s">
        <v>867</v>
      </c>
      <c r="M147" s="821"/>
      <c r="N147" s="1060"/>
      <c r="O147" s="1060"/>
    </row>
    <row r="148" spans="1:15" s="8" customFormat="1" ht="25.5">
      <c r="A148" s="1470"/>
      <c r="B148" s="1076" t="s">
        <v>996</v>
      </c>
      <c r="C148" s="571"/>
      <c r="D148" s="1072">
        <v>0.625</v>
      </c>
      <c r="E148" s="1072">
        <v>6.25E-2</v>
      </c>
      <c r="F148" s="1068"/>
      <c r="G148" s="1073">
        <v>7.1428571428571425E-2</v>
      </c>
      <c r="H148" s="1073">
        <v>0.2</v>
      </c>
      <c r="I148" s="1069"/>
      <c r="J148" s="1069">
        <v>9</v>
      </c>
      <c r="K148" s="1073">
        <f t="shared" si="8"/>
        <v>0.1875</v>
      </c>
      <c r="L148" s="1078" t="s">
        <v>1181</v>
      </c>
      <c r="M148" s="821"/>
      <c r="N148" s="1060"/>
      <c r="O148" s="1060"/>
    </row>
    <row r="149" spans="1:15" s="8" customFormat="1" ht="24">
      <c r="A149" s="1470"/>
      <c r="B149" s="1077" t="s">
        <v>868</v>
      </c>
      <c r="C149" s="1069"/>
      <c r="D149" s="1072">
        <v>0.75</v>
      </c>
      <c r="E149" s="1072">
        <v>0.1875</v>
      </c>
      <c r="F149" s="1068"/>
      <c r="G149" s="1073">
        <v>7.1428571428571425E-2</v>
      </c>
      <c r="H149" s="1073">
        <v>0</v>
      </c>
      <c r="I149" s="1069"/>
      <c r="J149" s="1069">
        <v>10</v>
      </c>
      <c r="K149" s="1073">
        <f t="shared" si="8"/>
        <v>0.20833333333333334</v>
      </c>
      <c r="L149" s="1074" t="s">
        <v>1180</v>
      </c>
      <c r="M149" s="821"/>
      <c r="N149" s="1060"/>
      <c r="O149" s="1060"/>
    </row>
    <row r="150" spans="1:15" s="8" customFormat="1">
      <c r="A150" s="405"/>
      <c r="B150" s="1077"/>
      <c r="C150" s="571"/>
      <c r="D150" s="1068"/>
      <c r="E150" s="1068"/>
      <c r="F150" s="1068"/>
      <c r="G150" s="1069"/>
      <c r="H150" s="1069"/>
      <c r="I150" s="1069"/>
      <c r="J150" s="1069"/>
      <c r="K150" s="1069"/>
      <c r="L150" s="1074"/>
      <c r="M150" s="821"/>
      <c r="N150" s="1060"/>
      <c r="O150" s="1060"/>
    </row>
    <row r="151" spans="1:15" s="8" customFormat="1">
      <c r="A151" s="405"/>
      <c r="B151" s="1077"/>
      <c r="C151" s="571"/>
      <c r="D151" s="1068"/>
      <c r="E151" s="1068"/>
      <c r="F151" s="1068"/>
      <c r="G151" s="1069"/>
      <c r="H151" s="1069"/>
      <c r="I151" s="1069"/>
      <c r="J151" s="1069"/>
      <c r="K151" s="1069"/>
      <c r="L151" s="1074"/>
      <c r="M151" s="821"/>
      <c r="N151" s="1060"/>
      <c r="O151" s="1060"/>
    </row>
    <row r="152" spans="1:15" s="8" customFormat="1" ht="38.25">
      <c r="A152" s="1470" t="s">
        <v>869</v>
      </c>
      <c r="B152" s="1076" t="s">
        <v>1046</v>
      </c>
      <c r="C152" s="571"/>
      <c r="D152" s="1072">
        <v>0.5</v>
      </c>
      <c r="E152" s="1072">
        <v>0.5625</v>
      </c>
      <c r="F152" s="1068"/>
      <c r="G152" s="1073">
        <v>0.14285714285714285</v>
      </c>
      <c r="H152" s="1073">
        <v>0.2</v>
      </c>
      <c r="I152" s="1069"/>
      <c r="J152" s="1069">
        <v>17</v>
      </c>
      <c r="K152" s="1073">
        <f t="shared" ref="K152:K160" si="9">J152/48</f>
        <v>0.35416666666666669</v>
      </c>
      <c r="L152" s="1078" t="s">
        <v>1179</v>
      </c>
      <c r="M152" s="821"/>
      <c r="N152" s="1060"/>
      <c r="O152" s="1060"/>
    </row>
    <row r="153" spans="1:15" s="8" customFormat="1" ht="26.25">
      <c r="A153" s="1470"/>
      <c r="B153" s="1077" t="s">
        <v>551</v>
      </c>
      <c r="C153" s="1069"/>
      <c r="D153" s="1072">
        <v>0.125</v>
      </c>
      <c r="E153" s="1072">
        <v>0.375</v>
      </c>
      <c r="F153" s="1068"/>
      <c r="G153" s="1073">
        <v>0</v>
      </c>
      <c r="H153" s="1073">
        <v>0.3</v>
      </c>
      <c r="I153" s="1069"/>
      <c r="J153" s="1069">
        <v>10</v>
      </c>
      <c r="K153" s="1073">
        <f t="shared" si="9"/>
        <v>0.20833333333333334</v>
      </c>
      <c r="L153" s="1074" t="s">
        <v>1178</v>
      </c>
      <c r="M153" s="821"/>
      <c r="N153" s="1060"/>
      <c r="O153" s="1060"/>
    </row>
    <row r="154" spans="1:15" s="8" customFormat="1" ht="26.25">
      <c r="A154" s="1470"/>
      <c r="B154" s="1077" t="s">
        <v>1052</v>
      </c>
      <c r="C154" s="1069"/>
      <c r="D154" s="1072">
        <v>0.25</v>
      </c>
      <c r="E154" s="1072">
        <v>0.375</v>
      </c>
      <c r="F154" s="1068"/>
      <c r="G154" s="1073">
        <v>7.1428571428571425E-2</v>
      </c>
      <c r="H154" s="1073">
        <v>0.4</v>
      </c>
      <c r="I154" s="1069"/>
      <c r="J154" s="1069">
        <v>13</v>
      </c>
      <c r="K154" s="1073">
        <f t="shared" si="9"/>
        <v>0.27083333333333331</v>
      </c>
      <c r="L154" s="1074" t="s">
        <v>1177</v>
      </c>
      <c r="M154" s="821"/>
      <c r="N154" s="1060"/>
      <c r="O154" s="1060"/>
    </row>
    <row r="155" spans="1:15" s="8" customFormat="1" ht="24">
      <c r="A155" s="1470"/>
      <c r="B155" s="1076" t="s">
        <v>553</v>
      </c>
      <c r="C155" s="571"/>
      <c r="D155" s="1072">
        <v>0.25</v>
      </c>
      <c r="E155" s="1072">
        <v>0.4375</v>
      </c>
      <c r="F155" s="1068"/>
      <c r="G155" s="1073">
        <v>0</v>
      </c>
      <c r="H155" s="1073">
        <v>0.4</v>
      </c>
      <c r="I155" s="1069"/>
      <c r="J155" s="1069">
        <v>13</v>
      </c>
      <c r="K155" s="1073">
        <f t="shared" si="9"/>
        <v>0.27083333333333331</v>
      </c>
      <c r="L155" s="1074" t="s">
        <v>1176</v>
      </c>
      <c r="M155" s="821"/>
      <c r="N155" s="1060"/>
      <c r="O155" s="1060"/>
    </row>
    <row r="156" spans="1:15" s="8" customFormat="1" ht="25.5">
      <c r="A156" s="1470"/>
      <c r="B156" s="1076" t="s">
        <v>555</v>
      </c>
      <c r="C156" s="571"/>
      <c r="D156" s="1072">
        <v>0.25</v>
      </c>
      <c r="E156" s="1072">
        <v>0.5</v>
      </c>
      <c r="F156" s="1068"/>
      <c r="G156" s="1073">
        <v>0.14285714285714285</v>
      </c>
      <c r="H156" s="1073">
        <v>0.2</v>
      </c>
      <c r="I156" s="1069"/>
      <c r="J156" s="1069">
        <v>14</v>
      </c>
      <c r="K156" s="1073">
        <f t="shared" si="9"/>
        <v>0.29166666666666669</v>
      </c>
      <c r="L156" s="1078" t="s">
        <v>582</v>
      </c>
      <c r="M156" s="821"/>
      <c r="N156" s="1060"/>
      <c r="O156" s="1060"/>
    </row>
    <row r="157" spans="1:15" s="8" customFormat="1" ht="38.25">
      <c r="A157" s="1470"/>
      <c r="B157" s="1076" t="s">
        <v>1028</v>
      </c>
      <c r="C157" s="571"/>
      <c r="D157" s="1072">
        <v>0.25</v>
      </c>
      <c r="E157" s="1072">
        <v>0.3125</v>
      </c>
      <c r="F157" s="1068"/>
      <c r="G157" s="1073">
        <v>7.1428571428571425E-2</v>
      </c>
      <c r="H157" s="1073">
        <v>0.2</v>
      </c>
      <c r="I157" s="1069"/>
      <c r="J157" s="1069">
        <v>10</v>
      </c>
      <c r="K157" s="1073">
        <f t="shared" si="9"/>
        <v>0.20833333333333334</v>
      </c>
      <c r="L157" s="1078" t="s">
        <v>1424</v>
      </c>
      <c r="M157" s="821"/>
      <c r="N157" s="1060"/>
      <c r="O157" s="1060"/>
    </row>
    <row r="158" spans="1:15" s="8" customFormat="1" ht="24">
      <c r="A158" s="1470"/>
      <c r="B158" s="1076" t="s">
        <v>1051</v>
      </c>
      <c r="C158" s="571"/>
      <c r="D158" s="1072">
        <v>0.125</v>
      </c>
      <c r="E158" s="1072">
        <v>6.25E-2</v>
      </c>
      <c r="F158" s="1068"/>
      <c r="G158" s="1073">
        <v>0</v>
      </c>
      <c r="H158" s="1073">
        <v>0.4</v>
      </c>
      <c r="I158" s="1069"/>
      <c r="J158" s="1069">
        <v>6</v>
      </c>
      <c r="K158" s="1073">
        <f t="shared" si="9"/>
        <v>0.125</v>
      </c>
      <c r="L158" s="1078" t="s">
        <v>1175</v>
      </c>
      <c r="M158" s="821"/>
      <c r="N158" s="1060"/>
      <c r="O158" s="1060"/>
    </row>
    <row r="159" spans="1:15" s="8" customFormat="1" ht="25.5">
      <c r="A159" s="1470"/>
      <c r="B159" s="1076" t="s">
        <v>1338</v>
      </c>
      <c r="C159" s="571"/>
      <c r="D159" s="1072">
        <v>0.375</v>
      </c>
      <c r="E159" s="1072">
        <v>0.4375</v>
      </c>
      <c r="F159" s="1068"/>
      <c r="G159" s="1073">
        <v>0</v>
      </c>
      <c r="H159" s="1073">
        <v>0.5</v>
      </c>
      <c r="I159" s="1069"/>
      <c r="J159" s="1069">
        <v>15</v>
      </c>
      <c r="K159" s="1073">
        <f t="shared" si="9"/>
        <v>0.3125</v>
      </c>
      <c r="L159" s="1078" t="s">
        <v>1174</v>
      </c>
      <c r="M159" s="821"/>
      <c r="N159" s="1060"/>
      <c r="O159" s="1060"/>
    </row>
    <row r="160" spans="1:15" s="8" customFormat="1">
      <c r="A160" s="1470"/>
      <c r="B160" s="1076" t="s">
        <v>625</v>
      </c>
      <c r="C160" s="571"/>
      <c r="D160" s="1072">
        <v>0.5</v>
      </c>
      <c r="E160" s="1072">
        <v>0.75</v>
      </c>
      <c r="F160" s="1068"/>
      <c r="G160" s="1073">
        <v>7.1428571428571425E-2</v>
      </c>
      <c r="H160" s="1073">
        <v>0.2</v>
      </c>
      <c r="I160" s="1069"/>
      <c r="J160" s="1069">
        <v>19</v>
      </c>
      <c r="K160" s="1073">
        <f t="shared" si="9"/>
        <v>0.39583333333333331</v>
      </c>
      <c r="L160" s="1078" t="s">
        <v>1047</v>
      </c>
      <c r="M160" s="821"/>
      <c r="N160" s="1060"/>
      <c r="O160" s="1060"/>
    </row>
    <row r="161" spans="1:15" s="8" customFormat="1">
      <c r="A161" s="405"/>
      <c r="B161" s="1077"/>
      <c r="C161" s="571"/>
      <c r="D161" s="1068"/>
      <c r="E161" s="1068"/>
      <c r="F161" s="1068"/>
      <c r="G161" s="1069"/>
      <c r="H161" s="1069"/>
      <c r="I161" s="1069"/>
      <c r="J161" s="1069"/>
      <c r="K161" s="1069"/>
      <c r="L161" s="1074"/>
      <c r="M161" s="821"/>
      <c r="N161" s="1060"/>
      <c r="O161" s="1060"/>
    </row>
    <row r="162" spans="1:15" s="8" customFormat="1">
      <c r="A162" s="405"/>
      <c r="B162" s="1077"/>
      <c r="C162" s="571"/>
      <c r="D162" s="1068"/>
      <c r="E162" s="1068"/>
      <c r="F162" s="1068"/>
      <c r="G162" s="1069"/>
      <c r="H162" s="1069"/>
      <c r="I162" s="1069"/>
      <c r="J162" s="1069"/>
      <c r="K162" s="1069"/>
      <c r="L162" s="1074"/>
      <c r="M162" s="821"/>
      <c r="N162" s="1060"/>
      <c r="O162" s="1060"/>
    </row>
    <row r="163" spans="1:15" s="8" customFormat="1">
      <c r="A163" s="1069"/>
      <c r="B163" s="1077"/>
      <c r="C163" s="1080"/>
      <c r="D163" s="1068"/>
      <c r="E163" s="1068"/>
      <c r="F163" s="1068"/>
      <c r="G163" s="1069"/>
      <c r="H163" s="1069"/>
      <c r="I163" s="1069"/>
      <c r="J163" s="1069"/>
      <c r="K163" s="1069"/>
      <c r="L163" s="1074"/>
      <c r="M163" s="821"/>
      <c r="N163" s="1060"/>
      <c r="O163" s="1060"/>
    </row>
    <row r="164" spans="1:15" s="8" customFormat="1">
      <c r="A164" s="1081" t="s">
        <v>1442</v>
      </c>
      <c r="B164" s="1069"/>
      <c r="C164" s="1069"/>
      <c r="D164" s="1068"/>
      <c r="E164" s="1068"/>
      <c r="F164" s="1068"/>
      <c r="G164" s="1069"/>
      <c r="H164" s="1069"/>
      <c r="I164" s="1069"/>
      <c r="J164" s="1069"/>
      <c r="K164" s="1069"/>
      <c r="L164" s="1074"/>
      <c r="M164" s="821"/>
      <c r="N164" s="1060"/>
      <c r="O164" s="1060"/>
    </row>
    <row r="165" spans="1:15" s="8" customFormat="1">
      <c r="A165" s="1069"/>
      <c r="B165" s="1077"/>
      <c r="C165" s="1069"/>
      <c r="D165" s="1068"/>
      <c r="E165" s="1068"/>
      <c r="F165" s="1068"/>
      <c r="G165" s="1069"/>
      <c r="H165" s="1069"/>
      <c r="I165" s="1069"/>
      <c r="J165" s="1069"/>
      <c r="K165" s="1069"/>
      <c r="L165" s="1074"/>
      <c r="M165" s="821"/>
      <c r="N165" s="1060"/>
      <c r="O165" s="1060"/>
    </row>
    <row r="166" spans="1:15" s="8" customFormat="1">
      <c r="A166" s="1069"/>
      <c r="B166" s="1077"/>
      <c r="C166" s="1077" t="s">
        <v>1335</v>
      </c>
      <c r="D166" s="1068"/>
      <c r="E166" s="1068"/>
      <c r="F166" s="1068"/>
      <c r="G166" s="1069"/>
      <c r="H166" s="1069"/>
      <c r="I166" s="1069"/>
      <c r="J166" s="1069"/>
      <c r="K166" s="1069"/>
      <c r="L166" s="1074"/>
      <c r="M166" s="821"/>
      <c r="N166" s="1060"/>
      <c r="O166" s="1060"/>
    </row>
    <row r="167" spans="1:15" s="8" customFormat="1" ht="36">
      <c r="A167" s="1069"/>
      <c r="B167" s="1077" t="s">
        <v>1357</v>
      </c>
      <c r="C167" s="1069"/>
      <c r="D167" s="1072">
        <v>0.5</v>
      </c>
      <c r="E167" s="1068"/>
      <c r="F167" s="1068"/>
      <c r="G167" s="1073">
        <v>0</v>
      </c>
      <c r="H167" s="1073">
        <v>0.4</v>
      </c>
      <c r="I167" s="1069"/>
      <c r="J167" s="1069">
        <v>8</v>
      </c>
      <c r="K167" s="1073">
        <f t="shared" ref="K167:K177" si="10">J167/48</f>
        <v>0.16666666666666666</v>
      </c>
      <c r="L167" s="1074" t="s">
        <v>1358</v>
      </c>
      <c r="M167" s="821"/>
      <c r="N167" s="1060"/>
      <c r="O167" s="1060"/>
    </row>
    <row r="168" spans="1:15" s="8" customFormat="1" ht="48">
      <c r="A168" s="1069"/>
      <c r="B168" s="1082" t="s">
        <v>1359</v>
      </c>
      <c r="C168" s="571" t="s">
        <v>1017</v>
      </c>
      <c r="D168" s="1072">
        <v>0.75</v>
      </c>
      <c r="E168" s="1068"/>
      <c r="F168" s="1068"/>
      <c r="G168" s="1073">
        <v>0.42857142857142855</v>
      </c>
      <c r="H168" s="1073">
        <v>0.3</v>
      </c>
      <c r="I168" s="1069"/>
      <c r="J168" s="1069">
        <v>15</v>
      </c>
      <c r="K168" s="1073">
        <f t="shared" si="10"/>
        <v>0.3125</v>
      </c>
      <c r="L168" s="1078" t="s">
        <v>1337</v>
      </c>
      <c r="M168" s="821"/>
      <c r="N168" s="1060"/>
      <c r="O168" s="1060"/>
    </row>
    <row r="169" spans="1:15" s="8" customFormat="1" ht="48">
      <c r="A169" s="1069"/>
      <c r="B169" s="1076" t="s">
        <v>1006</v>
      </c>
      <c r="C169" s="571" t="s">
        <v>1360</v>
      </c>
      <c r="D169" s="1072">
        <v>0.5</v>
      </c>
      <c r="E169" s="1068"/>
      <c r="F169" s="1068"/>
      <c r="G169" s="1073">
        <v>0.2857142857142857</v>
      </c>
      <c r="H169" s="1073">
        <v>0.4</v>
      </c>
      <c r="I169" s="1069"/>
      <c r="J169" s="1069">
        <v>12</v>
      </c>
      <c r="K169" s="1073">
        <f t="shared" si="10"/>
        <v>0.25</v>
      </c>
      <c r="L169" s="1078" t="s">
        <v>1196</v>
      </c>
      <c r="M169" s="821"/>
      <c r="N169" s="1060"/>
      <c r="O169" s="1060"/>
    </row>
    <row r="170" spans="1:15" s="8" customFormat="1" ht="48">
      <c r="A170" s="1069"/>
      <c r="B170" s="1076" t="s">
        <v>598</v>
      </c>
      <c r="C170" s="1069" t="s">
        <v>1361</v>
      </c>
      <c r="D170" s="1072">
        <v>0.75</v>
      </c>
      <c r="E170" s="1068"/>
      <c r="F170" s="1068"/>
      <c r="G170" s="1073">
        <v>0.35714285714285715</v>
      </c>
      <c r="H170" s="1073">
        <v>0.4</v>
      </c>
      <c r="I170" s="1069"/>
      <c r="J170" s="1069">
        <v>15</v>
      </c>
      <c r="K170" s="1073">
        <f t="shared" si="10"/>
        <v>0.3125</v>
      </c>
      <c r="L170" s="1078" t="s">
        <v>1191</v>
      </c>
      <c r="M170" s="821"/>
      <c r="N170" s="1060"/>
      <c r="O170" s="1060"/>
    </row>
    <row r="171" spans="1:15" s="8" customFormat="1" ht="36">
      <c r="A171" s="1069"/>
      <c r="B171" s="1082" t="s">
        <v>1339</v>
      </c>
      <c r="C171" s="1069" t="s">
        <v>1435</v>
      </c>
      <c r="D171" s="1072">
        <v>0.375</v>
      </c>
      <c r="E171" s="1068"/>
      <c r="F171" s="1068"/>
      <c r="G171" s="1073">
        <v>0.2857142857142857</v>
      </c>
      <c r="H171" s="1073">
        <v>0.4</v>
      </c>
      <c r="I171" s="1069"/>
      <c r="J171" s="1069">
        <v>11</v>
      </c>
      <c r="K171" s="1073">
        <f t="shared" si="10"/>
        <v>0.22916666666666666</v>
      </c>
      <c r="L171" s="1074" t="s">
        <v>1340</v>
      </c>
      <c r="M171" s="821"/>
      <c r="N171" s="1060"/>
      <c r="O171" s="1060"/>
    </row>
    <row r="172" spans="1:15" s="8" customFormat="1" ht="36">
      <c r="A172" s="1069"/>
      <c r="B172" s="1077" t="s">
        <v>1341</v>
      </c>
      <c r="C172" s="1069" t="s">
        <v>1362</v>
      </c>
      <c r="D172" s="1072">
        <v>0.5</v>
      </c>
      <c r="E172" s="1068"/>
      <c r="F172" s="1068"/>
      <c r="G172" s="1073">
        <v>7.1428571428571425E-2</v>
      </c>
      <c r="H172" s="1073">
        <v>0.4</v>
      </c>
      <c r="I172" s="1069"/>
      <c r="J172" s="1069">
        <v>9</v>
      </c>
      <c r="K172" s="1073">
        <f t="shared" si="10"/>
        <v>0.1875</v>
      </c>
      <c r="L172" s="1074" t="s">
        <v>1425</v>
      </c>
      <c r="M172" s="821"/>
      <c r="N172" s="1060"/>
      <c r="O172" s="1060"/>
    </row>
    <row r="173" spans="1:15" s="8" customFormat="1" ht="25.5">
      <c r="A173" s="1069"/>
      <c r="B173" s="1083" t="s">
        <v>1353</v>
      </c>
      <c r="C173" s="1069" t="s">
        <v>1363</v>
      </c>
      <c r="D173" s="1072">
        <v>0.5</v>
      </c>
      <c r="E173" s="1068"/>
      <c r="F173" s="1068"/>
      <c r="G173" s="1073">
        <v>0.5</v>
      </c>
      <c r="H173" s="1073">
        <v>0.4</v>
      </c>
      <c r="I173" s="1069"/>
      <c r="J173" s="1069">
        <v>15</v>
      </c>
      <c r="K173" s="1073">
        <f t="shared" si="10"/>
        <v>0.3125</v>
      </c>
      <c r="L173" s="1074" t="s">
        <v>1426</v>
      </c>
      <c r="M173" s="821"/>
      <c r="N173" s="1060"/>
      <c r="O173" s="1060"/>
    </row>
    <row r="174" spans="1:15" s="8" customFormat="1" ht="25.5">
      <c r="A174" s="1069"/>
      <c r="B174" s="1083" t="s">
        <v>1351</v>
      </c>
      <c r="C174" s="1069" t="s">
        <v>1364</v>
      </c>
      <c r="D174" s="1072">
        <v>0.5</v>
      </c>
      <c r="E174" s="1068"/>
      <c r="F174" s="1068"/>
      <c r="G174" s="1073">
        <v>0.21428571428571427</v>
      </c>
      <c r="H174" s="1073">
        <v>0.4</v>
      </c>
      <c r="I174" s="1069"/>
      <c r="J174" s="1069">
        <v>11</v>
      </c>
      <c r="K174" s="1073">
        <f t="shared" si="10"/>
        <v>0.22916666666666666</v>
      </c>
      <c r="L174" s="1074" t="s">
        <v>1352</v>
      </c>
      <c r="M174" s="821"/>
      <c r="N174" s="1060"/>
      <c r="O174" s="1060"/>
    </row>
    <row r="175" spans="1:15" s="8" customFormat="1" ht="26.25">
      <c r="A175" s="1069"/>
      <c r="B175" s="1083" t="s">
        <v>1350</v>
      </c>
      <c r="C175" s="1069" t="s">
        <v>1365</v>
      </c>
      <c r="D175" s="1072">
        <v>0.5</v>
      </c>
      <c r="E175" s="1068"/>
      <c r="F175" s="1068"/>
      <c r="G175" s="1073">
        <v>0.5</v>
      </c>
      <c r="H175" s="1073">
        <v>0.4</v>
      </c>
      <c r="I175" s="1069"/>
      <c r="J175" s="1069">
        <v>15</v>
      </c>
      <c r="K175" s="1073">
        <f t="shared" si="10"/>
        <v>0.3125</v>
      </c>
      <c r="L175" s="1074" t="s">
        <v>1349</v>
      </c>
      <c r="M175" s="821"/>
      <c r="N175" s="1060"/>
      <c r="O175" s="1060"/>
    </row>
    <row r="176" spans="1:15" s="8" customFormat="1">
      <c r="A176" s="1069"/>
      <c r="B176" s="1077" t="s">
        <v>1354</v>
      </c>
      <c r="C176" s="1069" t="s">
        <v>1366</v>
      </c>
      <c r="D176" s="1072">
        <v>0.5</v>
      </c>
      <c r="E176" s="1068"/>
      <c r="F176" s="1068"/>
      <c r="G176" s="1073">
        <v>0.2857142857142857</v>
      </c>
      <c r="H176" s="1073">
        <v>0.2</v>
      </c>
      <c r="I176" s="1069"/>
      <c r="J176" s="1069">
        <v>10</v>
      </c>
      <c r="K176" s="1073">
        <f t="shared" si="10"/>
        <v>0.20833333333333334</v>
      </c>
      <c r="L176" s="1074" t="s">
        <v>1427</v>
      </c>
      <c r="M176" s="821"/>
      <c r="N176" s="1060"/>
      <c r="O176" s="1060"/>
    </row>
    <row r="177" spans="1:15" s="8" customFormat="1">
      <c r="A177" s="1069"/>
      <c r="B177" s="1077" t="s">
        <v>1355</v>
      </c>
      <c r="C177" s="1069" t="s">
        <v>1367</v>
      </c>
      <c r="D177" s="1072">
        <v>0.75</v>
      </c>
      <c r="E177" s="1068"/>
      <c r="F177" s="1068"/>
      <c r="G177" s="1073">
        <v>0.7142857142857143</v>
      </c>
      <c r="H177" s="1073">
        <v>0</v>
      </c>
      <c r="I177" s="1069"/>
      <c r="J177" s="1069">
        <v>16</v>
      </c>
      <c r="K177" s="1073">
        <f t="shared" si="10"/>
        <v>0.33333333333333331</v>
      </c>
      <c r="L177" s="1074" t="s">
        <v>1356</v>
      </c>
      <c r="M177" s="821"/>
      <c r="N177" s="1060"/>
      <c r="O177" s="1060"/>
    </row>
    <row r="178" spans="1:15" s="8" customFormat="1">
      <c r="A178" s="1084"/>
      <c r="B178" s="967"/>
      <c r="C178" s="1085"/>
      <c r="D178" s="1060"/>
      <c r="E178" s="1060"/>
      <c r="F178" s="1060"/>
      <c r="G178" s="821"/>
      <c r="H178" s="821"/>
      <c r="I178" s="821"/>
      <c r="J178" s="821"/>
      <c r="K178" s="821"/>
      <c r="L178" s="1063"/>
      <c r="M178" s="821"/>
      <c r="N178" s="1060"/>
      <c r="O178" s="1060"/>
    </row>
    <row r="179" spans="1:15" s="8" customFormat="1">
      <c r="A179" s="1084"/>
      <c r="B179" s="1086"/>
      <c r="C179" s="1085"/>
      <c r="D179" s="1060"/>
      <c r="E179" s="1060"/>
      <c r="F179" s="1060"/>
      <c r="G179" s="821"/>
      <c r="H179" s="821"/>
      <c r="I179" s="821"/>
      <c r="J179" s="821"/>
      <c r="K179" s="821"/>
      <c r="L179" s="1063"/>
      <c r="M179" s="821"/>
      <c r="N179" s="1060"/>
      <c r="O179" s="1060"/>
    </row>
    <row r="180" spans="1:15" s="8" customFormat="1">
      <c r="A180" s="821"/>
      <c r="B180" s="417"/>
      <c r="C180" s="821"/>
      <c r="D180" s="1060"/>
      <c r="E180" s="1060"/>
      <c r="F180" s="1060"/>
      <c r="G180" s="821"/>
      <c r="H180" s="821"/>
      <c r="I180" s="821"/>
      <c r="J180" s="821"/>
      <c r="K180" s="821"/>
      <c r="L180" s="1063"/>
      <c r="M180" s="821"/>
      <c r="N180" s="1060"/>
      <c r="O180" s="1060"/>
    </row>
    <row r="181" spans="1:15" s="8" customFormat="1">
      <c r="A181" s="821"/>
      <c r="B181" s="417"/>
      <c r="C181" s="404"/>
      <c r="D181" s="1060"/>
      <c r="E181" s="1060"/>
      <c r="F181" s="1060"/>
      <c r="G181" s="821"/>
      <c r="H181" s="821"/>
      <c r="I181" s="821"/>
      <c r="J181" s="821"/>
      <c r="K181" s="821"/>
      <c r="L181" s="1063"/>
      <c r="M181" s="821"/>
      <c r="N181" s="1060"/>
      <c r="O181" s="1060"/>
    </row>
    <row r="182" spans="1:15" s="8" customFormat="1">
      <c r="A182" s="1087"/>
      <c r="B182" s="1088"/>
      <c r="C182" s="1089"/>
      <c r="D182" s="1060"/>
      <c r="E182" s="1060"/>
      <c r="F182" s="1060"/>
      <c r="G182" s="821"/>
      <c r="H182" s="821"/>
      <c r="I182" s="821"/>
      <c r="J182" s="821"/>
      <c r="K182" s="821"/>
      <c r="L182" s="1063"/>
      <c r="M182" s="821"/>
      <c r="N182" s="1060"/>
      <c r="O182" s="1060"/>
    </row>
    <row r="183" spans="1:15" s="8" customFormat="1">
      <c r="A183" s="1087"/>
      <c r="B183" s="1088"/>
      <c r="C183" s="1089"/>
      <c r="D183" s="1060"/>
      <c r="E183" s="1060"/>
      <c r="F183" s="1060"/>
      <c r="G183" s="821"/>
      <c r="H183" s="821"/>
      <c r="I183" s="821"/>
      <c r="J183" s="821"/>
      <c r="K183" s="821"/>
      <c r="L183" s="1063"/>
      <c r="M183" s="821"/>
      <c r="N183" s="1060"/>
      <c r="O183" s="1060"/>
    </row>
  </sheetData>
  <mergeCells count="40">
    <mergeCell ref="A3:C3"/>
    <mergeCell ref="A4:C4"/>
    <mergeCell ref="A5:C5"/>
    <mergeCell ref="A6:C10"/>
    <mergeCell ref="A12:A23"/>
    <mergeCell ref="B12:B20"/>
    <mergeCell ref="B76:B77"/>
    <mergeCell ref="L76:L77"/>
    <mergeCell ref="A26:A40"/>
    <mergeCell ref="B26:B28"/>
    <mergeCell ref="B38:B39"/>
    <mergeCell ref="A43:A56"/>
    <mergeCell ref="B43:B44"/>
    <mergeCell ref="A59:A80"/>
    <mergeCell ref="B59:B64"/>
    <mergeCell ref="L59:L64"/>
    <mergeCell ref="B65:B71"/>
    <mergeCell ref="L65:L71"/>
    <mergeCell ref="B72:B73"/>
    <mergeCell ref="L72:L73"/>
    <mergeCell ref="L115:L119"/>
    <mergeCell ref="B120:B126"/>
    <mergeCell ref="B127:B131"/>
    <mergeCell ref="A83:A91"/>
    <mergeCell ref="B83:B87"/>
    <mergeCell ref="L83:L87"/>
    <mergeCell ref="B89:B91"/>
    <mergeCell ref="A92:A96"/>
    <mergeCell ref="B92:B96"/>
    <mergeCell ref="L92:L96"/>
    <mergeCell ref="A99:A111"/>
    <mergeCell ref="B99:B102"/>
    <mergeCell ref="B106:B111"/>
    <mergeCell ref="A114:A131"/>
    <mergeCell ref="B115:B119"/>
    <mergeCell ref="A134:A144"/>
    <mergeCell ref="B134:B144"/>
    <mergeCell ref="L138:L139"/>
    <mergeCell ref="A147:A149"/>
    <mergeCell ref="A152:A16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3"/>
  <sheetViews>
    <sheetView view="pageBreakPreview" zoomScale="70" zoomScaleNormal="85" zoomScaleSheetLayoutView="70" workbookViewId="0">
      <pane xSplit="3" ySplit="11" topLeftCell="D12" activePane="bottomRight" state="frozen"/>
      <selection pane="topRight" activeCell="E1" sqref="E1"/>
      <selection pane="bottomLeft" activeCell="A5" sqref="A5"/>
      <selection pane="bottomRight" activeCell="I29" sqref="I29"/>
    </sheetView>
  </sheetViews>
  <sheetFormatPr defaultColWidth="9" defaultRowHeight="15.75"/>
  <cols>
    <col min="1" max="1" width="11" style="821" customWidth="1"/>
    <col min="2" max="2" width="21.125" style="417" customWidth="1"/>
    <col min="3" max="3" width="17.375" style="821" customWidth="1"/>
    <col min="4" max="4" width="12.375" style="821" customWidth="1"/>
    <col min="5" max="6" width="10.75" style="821" customWidth="1"/>
    <col min="7" max="7" width="14.375" style="1060" customWidth="1"/>
    <col min="8" max="8" width="15.25" style="1060" customWidth="1"/>
    <col min="9" max="9" width="14.125" style="1091" customWidth="1"/>
    <col min="10" max="10" width="13.5" style="1091" customWidth="1"/>
    <col min="11" max="11" width="13.625" style="1093" customWidth="1"/>
    <col min="12" max="12" width="13.5" style="1093" customWidth="1"/>
    <col min="13" max="13" width="10.5" style="1060" customWidth="1"/>
    <col min="14" max="14" width="16.625" style="1060" customWidth="1"/>
    <col min="15" max="15" width="12.875" style="1060" customWidth="1"/>
    <col min="16" max="16" width="12.625" style="1060" customWidth="1"/>
    <col min="17" max="18" width="12.625" style="1091" customWidth="1"/>
    <col min="19" max="19" width="10.875" style="1093" customWidth="1"/>
    <col min="20" max="20" width="11.25" style="1093" customWidth="1"/>
    <col min="21" max="21" width="16.875" style="1060" customWidth="1"/>
    <col min="22" max="22" width="17.25" style="1060" customWidth="1"/>
    <col min="23" max="23" width="16.375" style="1060" customWidth="1"/>
    <col min="24" max="28" width="17.25" style="1060" customWidth="1"/>
    <col min="29" max="29" width="11.375" style="1091" customWidth="1"/>
    <col min="30" max="30" width="11.25" style="1091" customWidth="1"/>
    <col min="31" max="32" width="17.25" style="1093" customWidth="1"/>
    <col min="33" max="33" width="10.125" style="821" customWidth="1"/>
    <col min="34" max="37" width="8.625" style="821" customWidth="1"/>
    <col min="38" max="38" width="9.125" style="821" customWidth="1"/>
    <col min="39" max="40" width="11.5" style="404" customWidth="1"/>
    <col min="41" max="42" width="9.125" style="417" customWidth="1"/>
    <col min="43" max="43" width="24.5" style="821" customWidth="1"/>
    <col min="44" max="47" width="11.125" style="821" customWidth="1"/>
    <col min="48" max="48" width="8.125" style="821" customWidth="1"/>
    <col min="49" max="49" width="23.875" style="821" customWidth="1"/>
    <col min="50" max="51" width="13.75" style="404" customWidth="1"/>
    <col min="52" max="52" width="22.125" style="1093" customWidth="1"/>
    <col min="53" max="53" width="20.125" style="1093" customWidth="1"/>
    <col min="54" max="54" width="17.875" style="821" customWidth="1"/>
    <col min="55" max="58" width="11.125" style="821" customWidth="1"/>
    <col min="59" max="60" width="9" style="11"/>
    <col min="61" max="61" width="20.125" style="1094" customWidth="1"/>
    <col min="62" max="62" width="64.75" style="527" customWidth="1"/>
    <col min="63" max="63" width="14" style="563" customWidth="1"/>
    <col min="64" max="64" width="20.75" style="563" customWidth="1"/>
    <col min="65" max="65" width="42.875" style="647" customWidth="1"/>
    <col min="66" max="16384" width="9" style="821"/>
  </cols>
  <sheetData>
    <row r="1" spans="1:65" ht="37.5" customHeight="1">
      <c r="A1" s="526" t="s">
        <v>1368</v>
      </c>
      <c r="B1" s="526"/>
      <c r="C1" s="526"/>
      <c r="D1" s="526"/>
      <c r="E1" s="526"/>
      <c r="F1" s="526"/>
      <c r="G1" s="11"/>
      <c r="K1" s="1092"/>
      <c r="L1" s="1092"/>
      <c r="AQ1" s="11"/>
      <c r="AR1" s="11"/>
      <c r="AS1" s="11"/>
      <c r="AT1" s="11"/>
      <c r="AU1" s="11"/>
      <c r="BB1" s="11"/>
      <c r="BC1" s="11"/>
      <c r="BD1" s="821" t="s">
        <v>911</v>
      </c>
      <c r="BE1" s="1576" t="s">
        <v>753</v>
      </c>
      <c r="BF1" s="1576"/>
      <c r="BI1" s="1060"/>
      <c r="BJ1" s="1094"/>
      <c r="BK1" s="527"/>
      <c r="BM1" s="563"/>
    </row>
    <row r="2" spans="1:65" ht="18.75" customHeight="1" thickBot="1">
      <c r="D2" s="1095"/>
      <c r="E2" s="1095"/>
      <c r="F2" s="1095"/>
      <c r="AQ2" s="11"/>
      <c r="AR2" s="11"/>
      <c r="AS2" s="11"/>
      <c r="AT2" s="11"/>
      <c r="AU2" s="11"/>
      <c r="BB2" s="11"/>
      <c r="BC2" s="11"/>
      <c r="BD2" s="11"/>
      <c r="BE2" s="11"/>
      <c r="BF2" s="11"/>
      <c r="BM2" s="641" t="s">
        <v>1644</v>
      </c>
    </row>
    <row r="3" spans="1:65" ht="15.75" customHeight="1" thickBot="1">
      <c r="A3" s="1568"/>
      <c r="B3" s="1568"/>
      <c r="C3" s="1568"/>
      <c r="D3" s="1096"/>
      <c r="E3" s="1096"/>
      <c r="F3" s="1096"/>
      <c r="G3" s="1059"/>
      <c r="H3" s="1059"/>
      <c r="I3" s="1059"/>
      <c r="J3" s="1059"/>
      <c r="K3" s="1097"/>
      <c r="L3" s="1097"/>
      <c r="M3" s="1577" t="s">
        <v>1645</v>
      </c>
      <c r="N3" s="1578"/>
      <c r="O3" s="1578"/>
      <c r="P3" s="1579"/>
      <c r="Q3" s="1098"/>
      <c r="R3" s="1098"/>
      <c r="S3" s="1099"/>
      <c r="T3" s="1099"/>
      <c r="U3" s="1580" t="s">
        <v>1646</v>
      </c>
      <c r="V3" s="1581"/>
      <c r="W3" s="1581"/>
      <c r="X3" s="1581"/>
      <c r="Y3" s="1581"/>
      <c r="Z3" s="1581"/>
      <c r="AA3" s="1581"/>
      <c r="AB3" s="1582"/>
      <c r="AC3" s="1100"/>
      <c r="AD3" s="1100"/>
      <c r="AE3" s="1101"/>
      <c r="AF3" s="1101"/>
      <c r="AG3" s="1583" t="s">
        <v>1647</v>
      </c>
      <c r="AH3" s="1584"/>
      <c r="AI3" s="1584"/>
      <c r="AJ3" s="1584"/>
      <c r="AK3" s="1585"/>
      <c r="AL3" s="1586"/>
      <c r="AM3" s="1098"/>
      <c r="AN3" s="1098"/>
      <c r="AO3" s="1102"/>
      <c r="AP3" s="1102"/>
      <c r="AQ3" s="1587" t="s">
        <v>727</v>
      </c>
      <c r="AR3" s="1588"/>
      <c r="AS3" s="1588"/>
      <c r="AT3" s="1588"/>
      <c r="AU3" s="1588"/>
      <c r="AV3" s="1588"/>
      <c r="AW3" s="1589"/>
      <c r="AX3" s="1103"/>
      <c r="AY3" s="1103"/>
      <c r="AZ3" s="1104"/>
      <c r="BA3" s="1104"/>
      <c r="BB3" s="1590" t="s">
        <v>843</v>
      </c>
      <c r="BC3" s="1591"/>
      <c r="BD3" s="1591"/>
      <c r="BE3" s="1591"/>
      <c r="BF3" s="1592"/>
      <c r="BI3" s="1105"/>
      <c r="BJ3" s="543"/>
      <c r="BK3" s="565"/>
      <c r="BL3" s="565"/>
      <c r="BM3" s="642" t="s">
        <v>1434</v>
      </c>
    </row>
    <row r="4" spans="1:65" ht="55.5">
      <c r="A4" s="1568"/>
      <c r="B4" s="1568"/>
      <c r="C4" s="1568"/>
      <c r="D4" s="405" t="s">
        <v>1648</v>
      </c>
      <c r="E4" s="1106" t="s">
        <v>1649</v>
      </c>
      <c r="F4" s="1106" t="s">
        <v>1650</v>
      </c>
      <c r="G4" s="1107" t="s">
        <v>1589</v>
      </c>
      <c r="H4" s="1108" t="s">
        <v>1590</v>
      </c>
      <c r="I4" s="1109" t="s">
        <v>1634</v>
      </c>
      <c r="J4" s="1110" t="s">
        <v>1651</v>
      </c>
      <c r="K4" s="1111" t="s">
        <v>1652</v>
      </c>
      <c r="L4" s="1111" t="s">
        <v>1653</v>
      </c>
      <c r="M4" s="1112" t="s">
        <v>1654</v>
      </c>
      <c r="N4" s="1113" t="s">
        <v>1655</v>
      </c>
      <c r="O4" s="1113" t="s">
        <v>1656</v>
      </c>
      <c r="P4" s="1114" t="s">
        <v>1657</v>
      </c>
      <c r="Q4" s="1115" t="s">
        <v>1635</v>
      </c>
      <c r="R4" s="1109" t="s">
        <v>1658</v>
      </c>
      <c r="S4" s="1116" t="s">
        <v>1659</v>
      </c>
      <c r="T4" s="1117" t="s">
        <v>1660</v>
      </c>
      <c r="U4" s="1118" t="s">
        <v>1661</v>
      </c>
      <c r="V4" s="1118" t="s">
        <v>1662</v>
      </c>
      <c r="W4" s="1118" t="s">
        <v>1663</v>
      </c>
      <c r="X4" s="1118" t="s">
        <v>1664</v>
      </c>
      <c r="Y4" s="1118" t="s">
        <v>1665</v>
      </c>
      <c r="Z4" s="1118" t="s">
        <v>1663</v>
      </c>
      <c r="AA4" s="1118" t="s">
        <v>1663</v>
      </c>
      <c r="AB4" s="1118" t="s">
        <v>1666</v>
      </c>
      <c r="AC4" s="1115" t="s">
        <v>1636</v>
      </c>
      <c r="AD4" s="1109" t="s">
        <v>1667</v>
      </c>
      <c r="AE4" s="1119" t="s">
        <v>1668</v>
      </c>
      <c r="AF4" s="1119" t="s">
        <v>1669</v>
      </c>
      <c r="AG4" s="1120" t="s">
        <v>955</v>
      </c>
      <c r="AH4" s="1121" t="s">
        <v>966</v>
      </c>
      <c r="AI4" s="1122" t="s">
        <v>957</v>
      </c>
      <c r="AJ4" s="1123" t="s">
        <v>958</v>
      </c>
      <c r="AK4" s="1123"/>
      <c r="AL4" s="1124" t="s">
        <v>956</v>
      </c>
      <c r="AM4" s="1115" t="s">
        <v>1637</v>
      </c>
      <c r="AN4" s="1109" t="s">
        <v>1670</v>
      </c>
      <c r="AO4" s="1125" t="s">
        <v>1671</v>
      </c>
      <c r="AP4" s="1126" t="s">
        <v>1672</v>
      </c>
      <c r="AQ4" s="1127" t="s">
        <v>1014</v>
      </c>
      <c r="AR4" s="1128" t="s">
        <v>1014</v>
      </c>
      <c r="AS4" s="1129" t="s">
        <v>1568</v>
      </c>
      <c r="AT4" s="1129" t="s">
        <v>1569</v>
      </c>
      <c r="AU4" s="1130" t="s">
        <v>1570</v>
      </c>
      <c r="AV4" s="1128" t="s">
        <v>1014</v>
      </c>
      <c r="AW4" s="1130" t="s">
        <v>1570</v>
      </c>
      <c r="AX4" s="1115" t="s">
        <v>1638</v>
      </c>
      <c r="AY4" s="1109" t="s">
        <v>1673</v>
      </c>
      <c r="AZ4" s="1131" t="s">
        <v>1674</v>
      </c>
      <c r="BA4" s="1131" t="s">
        <v>1675</v>
      </c>
      <c r="BB4" s="1132" t="s">
        <v>1676</v>
      </c>
      <c r="BC4" s="1133" t="s">
        <v>1459</v>
      </c>
      <c r="BD4" s="1134" t="s">
        <v>1100</v>
      </c>
      <c r="BE4" s="1135" t="s">
        <v>1057</v>
      </c>
      <c r="BF4" s="1136" t="s">
        <v>1064</v>
      </c>
      <c r="BI4" s="1137"/>
      <c r="BJ4" s="543"/>
      <c r="BK4" s="565"/>
      <c r="BL4" s="565"/>
      <c r="BM4" s="643"/>
    </row>
    <row r="5" spans="1:65" ht="54.75" thickBot="1">
      <c r="A5" s="1568"/>
      <c r="B5" s="1568"/>
      <c r="C5" s="1568"/>
      <c r="D5" s="1096"/>
      <c r="E5" s="1096"/>
      <c r="F5" s="1096"/>
      <c r="G5" s="1138"/>
      <c r="H5" s="1139"/>
      <c r="I5" s="1140"/>
      <c r="J5" s="1141" t="s">
        <v>1677</v>
      </c>
      <c r="K5" s="1142"/>
      <c r="L5" s="1142"/>
      <c r="M5" s="1143" t="s">
        <v>1678</v>
      </c>
      <c r="N5" s="1144" t="s">
        <v>1679</v>
      </c>
      <c r="O5" s="1144" t="s">
        <v>1680</v>
      </c>
      <c r="P5" s="1145" t="s">
        <v>1681</v>
      </c>
      <c r="Q5" s="1146"/>
      <c r="R5" s="1068" t="s">
        <v>1682</v>
      </c>
      <c r="S5" s="1147"/>
      <c r="T5" s="1148"/>
      <c r="U5" s="1149" t="s">
        <v>1683</v>
      </c>
      <c r="V5" s="1148" t="s">
        <v>1684</v>
      </c>
      <c r="W5" s="1148" t="s">
        <v>1685</v>
      </c>
      <c r="X5" s="1148" t="s">
        <v>1686</v>
      </c>
      <c r="Y5" s="1148" t="s">
        <v>1687</v>
      </c>
      <c r="Z5" s="1148" t="s">
        <v>1688</v>
      </c>
      <c r="AA5" s="1148" t="s">
        <v>1689</v>
      </c>
      <c r="AB5" s="1148" t="s">
        <v>379</v>
      </c>
      <c r="AC5" s="1146"/>
      <c r="AD5" s="1068" t="s">
        <v>1690</v>
      </c>
      <c r="AE5" s="1150"/>
      <c r="AF5" s="1150"/>
      <c r="AG5" s="1151" t="s">
        <v>963</v>
      </c>
      <c r="AH5" s="1152"/>
      <c r="AI5" s="1152"/>
      <c r="AJ5" s="1153"/>
      <c r="AK5" s="1154"/>
      <c r="AL5" s="1155"/>
      <c r="AM5" s="1146"/>
      <c r="AN5" s="1068" t="s">
        <v>1691</v>
      </c>
      <c r="AO5" s="1156"/>
      <c r="AP5" s="1157"/>
      <c r="AQ5" s="1158" t="s">
        <v>1692</v>
      </c>
      <c r="AR5" s="1159" t="s">
        <v>854</v>
      </c>
      <c r="AS5" s="1160" t="s">
        <v>1332</v>
      </c>
      <c r="AT5" s="1160" t="s">
        <v>1571</v>
      </c>
      <c r="AU5" s="1161"/>
      <c r="AV5" s="1162" t="s">
        <v>1693</v>
      </c>
      <c r="AW5" s="1163" t="s">
        <v>1694</v>
      </c>
      <c r="AX5" s="1164"/>
      <c r="AY5" s="1165" t="s">
        <v>1695</v>
      </c>
      <c r="AZ5" s="1166"/>
      <c r="BA5" s="1166"/>
      <c r="BB5" s="1167" t="s">
        <v>1696</v>
      </c>
      <c r="BC5" s="1168"/>
      <c r="BD5" s="1135"/>
      <c r="BE5" s="1169" t="s">
        <v>1058</v>
      </c>
      <c r="BF5" s="1170" t="s">
        <v>1059</v>
      </c>
      <c r="BI5" s="1137"/>
      <c r="BJ5" s="543"/>
      <c r="BK5" s="565"/>
      <c r="BL5" s="565"/>
      <c r="BM5" s="643"/>
    </row>
    <row r="6" spans="1:65" ht="40.5" customHeight="1" thickBot="1">
      <c r="A6" s="1569"/>
      <c r="B6" s="1569"/>
      <c r="C6" s="1569"/>
      <c r="D6" s="1171"/>
      <c r="E6" s="1171"/>
      <c r="F6" s="1171"/>
      <c r="G6" s="1172"/>
      <c r="H6" s="1172"/>
      <c r="I6" s="1173"/>
      <c r="J6" s="1174"/>
      <c r="K6" s="1175"/>
      <c r="L6" s="1175"/>
      <c r="M6" s="1176"/>
      <c r="N6" s="1173"/>
      <c r="O6" s="1173" t="s">
        <v>1396</v>
      </c>
      <c r="P6" s="1177" t="s">
        <v>1396</v>
      </c>
      <c r="Q6" s="1176"/>
      <c r="R6" s="1173"/>
      <c r="S6" s="1178"/>
      <c r="T6" s="1179"/>
      <c r="U6" s="1180" t="s">
        <v>1396</v>
      </c>
      <c r="V6" s="1180" t="s">
        <v>1396</v>
      </c>
      <c r="W6" s="1180" t="s">
        <v>1396</v>
      </c>
      <c r="X6" s="1180" t="s">
        <v>1396</v>
      </c>
      <c r="Y6" s="1180" t="s">
        <v>1396</v>
      </c>
      <c r="Z6" s="1180"/>
      <c r="AA6" s="1180"/>
      <c r="AB6" s="1180" t="s">
        <v>1396</v>
      </c>
      <c r="AC6" s="1180"/>
      <c r="AD6" s="1180"/>
      <c r="AE6" s="1179"/>
      <c r="AF6" s="1179"/>
      <c r="AG6" s="1557" t="s">
        <v>1697</v>
      </c>
      <c r="AH6" s="1558"/>
      <c r="AI6" s="1558"/>
      <c r="AJ6" s="1558"/>
      <c r="AK6" s="1558"/>
      <c r="AL6" s="1559"/>
      <c r="AM6" s="1053"/>
      <c r="AN6" s="1053"/>
      <c r="AO6" s="1181"/>
      <c r="AP6" s="1181"/>
      <c r="AQ6" s="1058"/>
      <c r="AR6" s="1572"/>
      <c r="AS6" s="1572"/>
      <c r="AT6" s="1572"/>
      <c r="AU6" s="1058"/>
      <c r="AV6" s="1182"/>
      <c r="AW6" s="1182"/>
      <c r="AX6" s="1183"/>
      <c r="AY6" s="1183"/>
      <c r="AZ6" s="1184"/>
      <c r="BA6" s="1184"/>
      <c r="BB6" s="1185" t="s">
        <v>1396</v>
      </c>
      <c r="BC6" s="1573" t="s">
        <v>1396</v>
      </c>
      <c r="BD6" s="1574"/>
      <c r="BE6" s="1574"/>
      <c r="BF6" s="1575"/>
      <c r="BI6" s="1137"/>
      <c r="BJ6" s="543"/>
      <c r="BK6" s="565"/>
      <c r="BL6" s="565"/>
      <c r="BM6" s="643"/>
    </row>
    <row r="7" spans="1:65" ht="21" hidden="1" customHeight="1" thickBot="1">
      <c r="A7" s="1570"/>
      <c r="B7" s="1570"/>
      <c r="C7" s="1570"/>
      <c r="D7" s="1171"/>
      <c r="E7" s="1171"/>
      <c r="F7" s="1171"/>
      <c r="G7" s="1052"/>
      <c r="H7" s="1052"/>
      <c r="I7" s="1186"/>
      <c r="J7" s="1105"/>
      <c r="K7" s="1175"/>
      <c r="L7" s="1175"/>
      <c r="M7" s="1187"/>
      <c r="N7" s="1186"/>
      <c r="O7" s="1186"/>
      <c r="P7" s="1188"/>
      <c r="Q7" s="1187"/>
      <c r="R7" s="1186"/>
      <c r="S7" s="1189"/>
      <c r="T7" s="1190"/>
      <c r="U7" s="1051"/>
      <c r="V7" s="1051"/>
      <c r="W7" s="1051"/>
      <c r="X7" s="1051"/>
      <c r="Y7" s="1051"/>
      <c r="Z7" s="1051"/>
      <c r="AA7" s="1051"/>
      <c r="AB7" s="1051"/>
      <c r="AC7" s="1051"/>
      <c r="AD7" s="1051"/>
      <c r="AE7" s="1190"/>
      <c r="AF7" s="1190"/>
      <c r="AG7" s="1557" t="s">
        <v>959</v>
      </c>
      <c r="AH7" s="1558"/>
      <c r="AI7" s="1558"/>
      <c r="AJ7" s="1558"/>
      <c r="AK7" s="1558"/>
      <c r="AL7" s="1559"/>
      <c r="AM7" s="1053"/>
      <c r="AN7" s="1053"/>
      <c r="AO7" s="1181"/>
      <c r="AP7" s="1181"/>
      <c r="AQ7" s="1191"/>
      <c r="AR7" s="1560"/>
      <c r="AS7" s="1560"/>
      <c r="AT7" s="1560"/>
      <c r="AU7" s="1191"/>
      <c r="AV7" s="1192"/>
      <c r="AW7" s="1192"/>
      <c r="AX7" s="1192"/>
      <c r="AY7" s="1192"/>
      <c r="AZ7" s="1193"/>
      <c r="BA7" s="1193"/>
      <c r="BB7" s="1052"/>
      <c r="BC7" s="1554"/>
      <c r="BD7" s="1555"/>
      <c r="BE7" s="1555"/>
      <c r="BF7" s="1556"/>
      <c r="BI7" s="1137"/>
      <c r="BJ7" s="543"/>
      <c r="BK7" s="565"/>
      <c r="BL7" s="565"/>
      <c r="BM7" s="643"/>
    </row>
    <row r="8" spans="1:65" ht="21" hidden="1" customHeight="1" thickBot="1">
      <c r="A8" s="1570"/>
      <c r="B8" s="1570"/>
      <c r="C8" s="1570"/>
      <c r="D8" s="1171"/>
      <c r="E8" s="1171"/>
      <c r="F8" s="1171"/>
      <c r="G8" s="1052"/>
      <c r="H8" s="1052"/>
      <c r="I8" s="1186"/>
      <c r="J8" s="1105"/>
      <c r="K8" s="1175"/>
      <c r="L8" s="1175"/>
      <c r="M8" s="1187"/>
      <c r="N8" s="1186"/>
      <c r="O8" s="1186"/>
      <c r="P8" s="1188"/>
      <c r="Q8" s="1187"/>
      <c r="R8" s="1186"/>
      <c r="S8" s="1189"/>
      <c r="T8" s="1190"/>
      <c r="U8" s="1051"/>
      <c r="V8" s="1051"/>
      <c r="W8" s="1051"/>
      <c r="X8" s="1051"/>
      <c r="Y8" s="1051"/>
      <c r="Z8" s="1051"/>
      <c r="AA8" s="1051"/>
      <c r="AB8" s="1051"/>
      <c r="AC8" s="1051"/>
      <c r="AD8" s="1051"/>
      <c r="AE8" s="1190"/>
      <c r="AF8" s="1190"/>
      <c r="AG8" s="1557" t="s">
        <v>962</v>
      </c>
      <c r="AH8" s="1558"/>
      <c r="AI8" s="1558"/>
      <c r="AJ8" s="1558"/>
      <c r="AK8" s="1558"/>
      <c r="AL8" s="1559"/>
      <c r="AM8" s="1053"/>
      <c r="AN8" s="1053"/>
      <c r="AO8" s="1181"/>
      <c r="AP8" s="1181"/>
      <c r="AQ8" s="1194"/>
      <c r="AR8" s="1553"/>
      <c r="AS8" s="1553"/>
      <c r="AT8" s="1553"/>
      <c r="AU8" s="1194"/>
      <c r="AV8" s="1195"/>
      <c r="AW8" s="1195"/>
      <c r="AX8" s="1195"/>
      <c r="AY8" s="1195"/>
      <c r="AZ8" s="1196"/>
      <c r="BA8" s="1196"/>
      <c r="BB8" s="1052"/>
      <c r="BC8" s="1554"/>
      <c r="BD8" s="1555"/>
      <c r="BE8" s="1555"/>
      <c r="BF8" s="1556"/>
      <c r="BI8" s="1137"/>
      <c r="BJ8" s="543"/>
      <c r="BK8" s="565"/>
      <c r="BL8" s="565"/>
      <c r="BM8" s="643"/>
    </row>
    <row r="9" spans="1:65" ht="21" hidden="1" customHeight="1" thickBot="1">
      <c r="A9" s="1570"/>
      <c r="B9" s="1570"/>
      <c r="C9" s="1570"/>
      <c r="D9" s="1171"/>
      <c r="E9" s="1171"/>
      <c r="F9" s="1171"/>
      <c r="G9" s="1052"/>
      <c r="H9" s="1052"/>
      <c r="I9" s="1186"/>
      <c r="J9" s="1105"/>
      <c r="K9" s="1175"/>
      <c r="L9" s="1175"/>
      <c r="M9" s="1187"/>
      <c r="N9" s="1186"/>
      <c r="O9" s="1186"/>
      <c r="P9" s="1188"/>
      <c r="Q9" s="1187"/>
      <c r="R9" s="1186"/>
      <c r="S9" s="1189"/>
      <c r="T9" s="1190"/>
      <c r="U9" s="1051"/>
      <c r="V9" s="1051"/>
      <c r="W9" s="1051"/>
      <c r="X9" s="1051"/>
      <c r="Y9" s="1051"/>
      <c r="Z9" s="1051"/>
      <c r="AA9" s="1051"/>
      <c r="AB9" s="1051"/>
      <c r="AC9" s="1051"/>
      <c r="AD9" s="1051"/>
      <c r="AE9" s="1190"/>
      <c r="AF9" s="1190"/>
      <c r="AG9" s="1557" t="s">
        <v>960</v>
      </c>
      <c r="AH9" s="1558"/>
      <c r="AI9" s="1558"/>
      <c r="AJ9" s="1558"/>
      <c r="AK9" s="1558"/>
      <c r="AL9" s="1559"/>
      <c r="AM9" s="1053"/>
      <c r="AN9" s="1053"/>
      <c r="AO9" s="1181"/>
      <c r="AP9" s="1181"/>
      <c r="AQ9" s="1191"/>
      <c r="AR9" s="1560"/>
      <c r="AS9" s="1560"/>
      <c r="AT9" s="1560"/>
      <c r="AU9" s="1191"/>
      <c r="AV9" s="1192"/>
      <c r="AW9" s="1192"/>
      <c r="AX9" s="1192"/>
      <c r="AY9" s="1192"/>
      <c r="AZ9" s="1193"/>
      <c r="BA9" s="1193"/>
      <c r="BB9" s="1052"/>
      <c r="BC9" s="1554"/>
      <c r="BD9" s="1555"/>
      <c r="BE9" s="1555"/>
      <c r="BF9" s="1556"/>
      <c r="BI9" s="1137"/>
      <c r="BJ9" s="543"/>
      <c r="BK9" s="565"/>
      <c r="BL9" s="565"/>
      <c r="BM9" s="643"/>
    </row>
    <row r="10" spans="1:65" ht="21" hidden="1" customHeight="1" thickBot="1">
      <c r="A10" s="1571"/>
      <c r="B10" s="1571"/>
      <c r="C10" s="1571"/>
      <c r="D10" s="1171"/>
      <c r="E10" s="1171"/>
      <c r="F10" s="1171"/>
      <c r="G10" s="1052"/>
      <c r="H10" s="1052"/>
      <c r="I10" s="1186"/>
      <c r="J10" s="1105"/>
      <c r="K10" s="1197"/>
      <c r="L10" s="1197"/>
      <c r="M10" s="1187"/>
      <c r="N10" s="1186"/>
      <c r="O10" s="1186"/>
      <c r="P10" s="1188"/>
      <c r="Q10" s="1187"/>
      <c r="R10" s="1186"/>
      <c r="S10" s="1198"/>
      <c r="T10" s="1199"/>
      <c r="U10" s="1056"/>
      <c r="V10" s="1056"/>
      <c r="W10" s="1056"/>
      <c r="X10" s="1056"/>
      <c r="Y10" s="1056"/>
      <c r="Z10" s="1056"/>
      <c r="AA10" s="1056"/>
      <c r="AB10" s="1056"/>
      <c r="AC10" s="1051"/>
      <c r="AD10" s="1051"/>
      <c r="AE10" s="1190"/>
      <c r="AF10" s="1190"/>
      <c r="AG10" s="1561" t="s">
        <v>961</v>
      </c>
      <c r="AH10" s="1562"/>
      <c r="AI10" s="1562"/>
      <c r="AJ10" s="1562"/>
      <c r="AK10" s="1562"/>
      <c r="AL10" s="1563"/>
      <c r="AM10" s="1055"/>
      <c r="AN10" s="1055"/>
      <c r="AO10" s="1200"/>
      <c r="AP10" s="1200"/>
      <c r="AQ10" s="1054"/>
      <c r="AR10" s="1564"/>
      <c r="AS10" s="1564"/>
      <c r="AT10" s="1564"/>
      <c r="AU10" s="1054"/>
      <c r="AV10" s="1201"/>
      <c r="AW10" s="1201"/>
      <c r="AX10" s="1202"/>
      <c r="AY10" s="1202"/>
      <c r="AZ10" s="1203"/>
      <c r="BA10" s="1203"/>
      <c r="BB10" s="1057"/>
      <c r="BC10" s="1565"/>
      <c r="BD10" s="1566"/>
      <c r="BE10" s="1566"/>
      <c r="BF10" s="1567"/>
      <c r="BI10" s="1204"/>
      <c r="BJ10" s="544"/>
      <c r="BK10" s="565"/>
      <c r="BL10" s="565"/>
      <c r="BM10" s="643"/>
    </row>
    <row r="11" spans="1:65" s="290" customFormat="1" ht="51">
      <c r="A11" s="405" t="s">
        <v>557</v>
      </c>
      <c r="B11" s="405" t="s">
        <v>1331</v>
      </c>
      <c r="C11" s="520" t="s">
        <v>1330</v>
      </c>
      <c r="D11" s="405"/>
      <c r="E11" s="405"/>
      <c r="F11" s="405"/>
      <c r="G11" s="1205"/>
      <c r="H11" s="1206"/>
      <c r="I11" s="1207"/>
      <c r="J11" s="1208"/>
      <c r="K11" s="1097"/>
      <c r="L11" s="1097"/>
      <c r="M11" s="1209"/>
      <c r="N11" s="1205"/>
      <c r="O11" s="1040"/>
      <c r="P11" s="1210"/>
      <c r="Q11" s="1211"/>
      <c r="R11" s="1207"/>
      <c r="S11" s="1212"/>
      <c r="T11" s="1213"/>
      <c r="U11" s="678"/>
      <c r="V11" s="1214"/>
      <c r="W11" s="678"/>
      <c r="X11" s="678"/>
      <c r="Y11" s="1214"/>
      <c r="Z11" s="1214"/>
      <c r="AA11" s="1214"/>
      <c r="AB11" s="678"/>
      <c r="AC11" s="1215"/>
      <c r="AD11" s="1215"/>
      <c r="AE11" s="1216"/>
      <c r="AF11" s="1216"/>
      <c r="AG11" s="516"/>
      <c r="AH11" s="511"/>
      <c r="AI11" s="1040"/>
      <c r="AJ11" s="909"/>
      <c r="AK11" s="1217"/>
      <c r="AL11" s="1218"/>
      <c r="AM11" s="1219"/>
      <c r="AN11" s="1219"/>
      <c r="AO11" s="1217"/>
      <c r="AP11" s="1217"/>
      <c r="AQ11" s="519"/>
      <c r="AR11" s="519"/>
      <c r="AS11" s="518"/>
      <c r="AT11" s="518"/>
      <c r="AU11" s="800"/>
      <c r="AV11" s="1040"/>
      <c r="AW11" s="1040"/>
      <c r="AX11" s="1207"/>
      <c r="AY11" s="1207"/>
      <c r="AZ11" s="511"/>
      <c r="BA11" s="511"/>
      <c r="BB11" s="1205"/>
      <c r="BC11" s="678"/>
      <c r="BD11" s="1220"/>
      <c r="BE11" s="1221"/>
      <c r="BF11" s="1222"/>
      <c r="BI11" s="1105" t="s">
        <v>1329</v>
      </c>
      <c r="BJ11" s="512" t="s">
        <v>1328</v>
      </c>
      <c r="BK11" s="405" t="s">
        <v>1327</v>
      </c>
      <c r="BL11" s="511" t="s">
        <v>1326</v>
      </c>
      <c r="BM11" s="644" t="s">
        <v>1430</v>
      </c>
    </row>
    <row r="12" spans="1:65" s="1240" customFormat="1" ht="33.75">
      <c r="A12" s="1549" t="s">
        <v>856</v>
      </c>
      <c r="B12" s="1550" t="s">
        <v>981</v>
      </c>
      <c r="C12" s="575" t="s">
        <v>1077</v>
      </c>
      <c r="D12" s="1207">
        <f>E12+F12</f>
        <v>18</v>
      </c>
      <c r="E12" s="1207">
        <f>G12*1</f>
        <v>4</v>
      </c>
      <c r="F12" s="1207">
        <f>H12*2</f>
        <v>14</v>
      </c>
      <c r="G12" s="1223">
        <f t="shared" ref="G12:H23" si="0">SUM(K12+S12+AE12+AO12+AZ12)</f>
        <v>4</v>
      </c>
      <c r="H12" s="1223">
        <f t="shared" si="0"/>
        <v>7</v>
      </c>
      <c r="I12" s="1224">
        <f>J12/8</f>
        <v>0.5</v>
      </c>
      <c r="J12" s="1225">
        <f>K12+(L12*2)</f>
        <v>4</v>
      </c>
      <c r="K12" s="1041">
        <f>COUNTIF(M12:P12, "M")</f>
        <v>0</v>
      </c>
      <c r="L12" s="1226">
        <f>COUNTIF(M12:P12, "H")</f>
        <v>2</v>
      </c>
      <c r="M12" s="1227" t="s">
        <v>562</v>
      </c>
      <c r="N12" s="1228"/>
      <c r="O12" s="1228" t="s">
        <v>562</v>
      </c>
      <c r="P12" s="1229"/>
      <c r="Q12" s="1224">
        <f>R12/16</f>
        <v>0.25</v>
      </c>
      <c r="R12" s="1225">
        <f>S12+(T12*2)</f>
        <v>4</v>
      </c>
      <c r="S12" s="579">
        <f>COUNTIF(U12:AB12, "M")</f>
        <v>2</v>
      </c>
      <c r="T12" s="1041">
        <f>COUNTIF(U12:AB12, "H")</f>
        <v>1</v>
      </c>
      <c r="U12" s="1227"/>
      <c r="V12" s="1230" t="s">
        <v>562</v>
      </c>
      <c r="W12" s="1227"/>
      <c r="X12" s="1227"/>
      <c r="Y12" s="1230" t="s">
        <v>587</v>
      </c>
      <c r="Z12" s="1227" t="s">
        <v>587</v>
      </c>
      <c r="AA12" s="1231"/>
      <c r="AB12" s="1227"/>
      <c r="AC12" s="1225"/>
      <c r="AD12" s="1225"/>
      <c r="AE12" s="1041">
        <f>COUNTIF(AG12:AL12, "M")</f>
        <v>0</v>
      </c>
      <c r="AF12" s="1041">
        <f>COUNTIF(AG12:AL12, "H")</f>
        <v>0</v>
      </c>
      <c r="AG12" s="1227"/>
      <c r="AH12" s="1232"/>
      <c r="AI12" s="1228"/>
      <c r="AJ12" s="1233"/>
      <c r="AK12" s="1234"/>
      <c r="AL12" s="1235"/>
      <c r="AM12" s="1224">
        <f>AN12/14</f>
        <v>0.2857142857142857</v>
      </c>
      <c r="AN12" s="1225">
        <f>AO12+(AP12*2)</f>
        <v>4</v>
      </c>
      <c r="AO12" s="1041">
        <f t="shared" ref="AO12:AO23" si="1">COUNTIF(AQ12:AW12, "M")</f>
        <v>2</v>
      </c>
      <c r="AP12" s="1041">
        <f t="shared" ref="AP12:AP23" si="2">COUNTIF(AQ12:AW12, "H")</f>
        <v>1</v>
      </c>
      <c r="AQ12" s="1228" t="s">
        <v>587</v>
      </c>
      <c r="AR12" s="1228"/>
      <c r="AS12" s="1228"/>
      <c r="AT12" s="1228"/>
      <c r="AU12" s="1233"/>
      <c r="AV12" s="1228" t="s">
        <v>562</v>
      </c>
      <c r="AW12" s="1233" t="s">
        <v>587</v>
      </c>
      <c r="AX12" s="1224">
        <f>AY12/10</f>
        <v>0.6</v>
      </c>
      <c r="AY12" s="1225">
        <f>AZ12+(BA12*2)</f>
        <v>6</v>
      </c>
      <c r="AZ12" s="1041">
        <f>COUNTIF(BB12:BF12, "M")</f>
        <v>0</v>
      </c>
      <c r="BA12" s="1041">
        <f>COUNTIF(BB12:BF12, "H")</f>
        <v>3</v>
      </c>
      <c r="BB12" s="1223"/>
      <c r="BC12" s="1236"/>
      <c r="BD12" s="1237" t="s">
        <v>562</v>
      </c>
      <c r="BE12" s="1238" t="s">
        <v>562</v>
      </c>
      <c r="BF12" s="1239" t="s">
        <v>562</v>
      </c>
      <c r="BI12" s="1241" t="s">
        <v>1325</v>
      </c>
      <c r="BJ12" s="581" t="s">
        <v>1324</v>
      </c>
      <c r="BK12" s="583" t="s">
        <v>1457</v>
      </c>
      <c r="BL12" s="583"/>
      <c r="BM12" s="1242"/>
    </row>
    <row r="13" spans="1:65" s="1240" customFormat="1" ht="22.5">
      <c r="A13" s="1549"/>
      <c r="B13" s="1550"/>
      <c r="C13" s="584" t="s">
        <v>1323</v>
      </c>
      <c r="D13" s="1207">
        <f t="shared" ref="D13:D23" si="3">E13+F13</f>
        <v>31</v>
      </c>
      <c r="E13" s="1207">
        <f t="shared" ref="E13:E23" si="4">G13*1</f>
        <v>7</v>
      </c>
      <c r="F13" s="1207">
        <f t="shared" ref="F13:F23" si="5">H13*2</f>
        <v>24</v>
      </c>
      <c r="G13" s="1223">
        <f t="shared" si="0"/>
        <v>7</v>
      </c>
      <c r="H13" s="1223">
        <f t="shared" si="0"/>
        <v>12</v>
      </c>
      <c r="I13" s="1224">
        <f t="shared" ref="I13:I23" si="6">J13/8</f>
        <v>0.625</v>
      </c>
      <c r="J13" s="1225">
        <f t="shared" ref="J13:J23" si="7">K13+(L13*2)</f>
        <v>5</v>
      </c>
      <c r="K13" s="1041">
        <f t="shared" ref="K13:K23" si="8">COUNTIF(M13:P13, "M")</f>
        <v>1</v>
      </c>
      <c r="L13" s="1226">
        <f t="shared" ref="L13:L23" si="9">COUNTIF(M13:P13, "H")</f>
        <v>2</v>
      </c>
      <c r="M13" s="680" t="s">
        <v>562</v>
      </c>
      <c r="N13" s="1232" t="s">
        <v>587</v>
      </c>
      <c r="O13" s="1232" t="s">
        <v>562</v>
      </c>
      <c r="P13" s="1243"/>
      <c r="Q13" s="1224">
        <f t="shared" ref="Q13:Q23" si="10">R13/16</f>
        <v>0.8125</v>
      </c>
      <c r="R13" s="1225">
        <f t="shared" ref="R13:R23" si="11">S13+(T13*2)</f>
        <v>13</v>
      </c>
      <c r="S13" s="579">
        <f t="shared" ref="S13:S23" si="12">COUNTIF(U13:AB13, "M")</f>
        <v>1</v>
      </c>
      <c r="T13" s="1041">
        <f t="shared" ref="T13:T23" si="13">COUNTIF(U13:AB13, "H")</f>
        <v>6</v>
      </c>
      <c r="U13" s="680" t="s">
        <v>587</v>
      </c>
      <c r="V13" s="1230" t="s">
        <v>562</v>
      </c>
      <c r="W13" s="680" t="s">
        <v>562</v>
      </c>
      <c r="X13" s="680"/>
      <c r="Y13" s="1230" t="s">
        <v>562</v>
      </c>
      <c r="Z13" s="680" t="s">
        <v>562</v>
      </c>
      <c r="AA13" s="1231" t="s">
        <v>562</v>
      </c>
      <c r="AB13" s="680" t="s">
        <v>562</v>
      </c>
      <c r="AC13" s="1244"/>
      <c r="AD13" s="1244"/>
      <c r="AE13" s="1041">
        <f t="shared" ref="AE13:AE23" si="14">COUNTIF(AG13:AL13, "M")</f>
        <v>0</v>
      </c>
      <c r="AF13" s="1041">
        <f t="shared" ref="AF13:AF23" si="15">COUNTIF(AG13:AL13, "H")</f>
        <v>0</v>
      </c>
      <c r="AG13" s="1227"/>
      <c r="AH13" s="1232"/>
      <c r="AI13" s="1232"/>
      <c r="AJ13" s="1245"/>
      <c r="AK13" s="1246"/>
      <c r="AL13" s="1247"/>
      <c r="AM13" s="1224">
        <f t="shared" ref="AM13:AM23" si="16">AN13/14</f>
        <v>0.5</v>
      </c>
      <c r="AN13" s="1225">
        <f t="shared" ref="AN13:AN23" si="17">AO13+(AP13*2)</f>
        <v>7</v>
      </c>
      <c r="AO13" s="1041">
        <f t="shared" si="1"/>
        <v>3</v>
      </c>
      <c r="AP13" s="1041">
        <f t="shared" si="2"/>
        <v>2</v>
      </c>
      <c r="AQ13" s="1228" t="s">
        <v>562</v>
      </c>
      <c r="AR13" s="1228" t="s">
        <v>587</v>
      </c>
      <c r="AS13" s="1228"/>
      <c r="AT13" s="1228" t="s">
        <v>587</v>
      </c>
      <c r="AU13" s="1233"/>
      <c r="AV13" s="1228" t="s">
        <v>562</v>
      </c>
      <c r="AW13" s="1233" t="s">
        <v>587</v>
      </c>
      <c r="AX13" s="1224">
        <f t="shared" ref="AX13:AX23" si="18">AY13/10</f>
        <v>0.6</v>
      </c>
      <c r="AY13" s="1225">
        <f t="shared" ref="AY13:AY23" si="19">AZ13+(BA13*2)</f>
        <v>6</v>
      </c>
      <c r="AZ13" s="1041">
        <f t="shared" ref="AZ13:AZ23" si="20">COUNTIF(BB13:BF13, "M")</f>
        <v>2</v>
      </c>
      <c r="BA13" s="1041">
        <f t="shared" ref="BA13:BA23" si="21">COUNTIF(BB13:BF13, "H")</f>
        <v>2</v>
      </c>
      <c r="BB13" s="1248"/>
      <c r="BC13" s="680" t="s">
        <v>587</v>
      </c>
      <c r="BD13" s="1237" t="s">
        <v>587</v>
      </c>
      <c r="BE13" s="1238" t="s">
        <v>562</v>
      </c>
      <c r="BF13" s="1239" t="s">
        <v>562</v>
      </c>
      <c r="BI13" s="1241" t="s">
        <v>1322</v>
      </c>
      <c r="BJ13" s="581" t="s">
        <v>1397</v>
      </c>
      <c r="BK13" s="582"/>
      <c r="BL13" s="583"/>
      <c r="BM13" s="1242"/>
    </row>
    <row r="14" spans="1:65" s="1240" customFormat="1" ht="22.5">
      <c r="A14" s="1549"/>
      <c r="B14" s="1550"/>
      <c r="C14" s="584" t="s">
        <v>1321</v>
      </c>
      <c r="D14" s="1207">
        <f t="shared" si="3"/>
        <v>29</v>
      </c>
      <c r="E14" s="1207">
        <f t="shared" si="4"/>
        <v>9</v>
      </c>
      <c r="F14" s="1207">
        <f t="shared" si="5"/>
        <v>20</v>
      </c>
      <c r="G14" s="1223">
        <f t="shared" si="0"/>
        <v>9</v>
      </c>
      <c r="H14" s="1223">
        <f t="shared" si="0"/>
        <v>10</v>
      </c>
      <c r="I14" s="1224">
        <f t="shared" si="6"/>
        <v>0.5</v>
      </c>
      <c r="J14" s="1225">
        <f t="shared" si="7"/>
        <v>4</v>
      </c>
      <c r="K14" s="1041">
        <f t="shared" si="8"/>
        <v>2</v>
      </c>
      <c r="L14" s="1226">
        <f t="shared" si="9"/>
        <v>1</v>
      </c>
      <c r="M14" s="680" t="s">
        <v>587</v>
      </c>
      <c r="N14" s="1232" t="s">
        <v>587</v>
      </c>
      <c r="O14" s="1232" t="s">
        <v>562</v>
      </c>
      <c r="P14" s="1243"/>
      <c r="Q14" s="1224">
        <f t="shared" si="10"/>
        <v>0.875</v>
      </c>
      <c r="R14" s="1225">
        <f t="shared" si="11"/>
        <v>14</v>
      </c>
      <c r="S14" s="579">
        <f t="shared" si="12"/>
        <v>0</v>
      </c>
      <c r="T14" s="1041">
        <f t="shared" si="13"/>
        <v>7</v>
      </c>
      <c r="U14" s="680" t="s">
        <v>562</v>
      </c>
      <c r="V14" s="1230" t="s">
        <v>562</v>
      </c>
      <c r="W14" s="680" t="s">
        <v>562</v>
      </c>
      <c r="X14" s="680"/>
      <c r="Y14" s="1230" t="s">
        <v>562</v>
      </c>
      <c r="Z14" s="680" t="s">
        <v>562</v>
      </c>
      <c r="AA14" s="1231" t="s">
        <v>562</v>
      </c>
      <c r="AB14" s="680" t="s">
        <v>562</v>
      </c>
      <c r="AC14" s="1244"/>
      <c r="AD14" s="1244"/>
      <c r="AE14" s="1041">
        <f t="shared" si="14"/>
        <v>0</v>
      </c>
      <c r="AF14" s="1041">
        <f t="shared" si="15"/>
        <v>0</v>
      </c>
      <c r="AG14" s="1227"/>
      <c r="AH14" s="1232"/>
      <c r="AI14" s="1232"/>
      <c r="AJ14" s="1245"/>
      <c r="AK14" s="1246"/>
      <c r="AL14" s="1247"/>
      <c r="AM14" s="1224">
        <f t="shared" si="16"/>
        <v>0.42857142857142855</v>
      </c>
      <c r="AN14" s="1225">
        <f t="shared" si="17"/>
        <v>6</v>
      </c>
      <c r="AO14" s="1041">
        <f t="shared" si="1"/>
        <v>4</v>
      </c>
      <c r="AP14" s="1041">
        <f t="shared" si="2"/>
        <v>1</v>
      </c>
      <c r="AQ14" s="1228" t="s">
        <v>587</v>
      </c>
      <c r="AR14" s="1228"/>
      <c r="AS14" s="1228"/>
      <c r="AT14" s="1228" t="s">
        <v>587</v>
      </c>
      <c r="AU14" s="1233" t="s">
        <v>587</v>
      </c>
      <c r="AV14" s="1228" t="s">
        <v>562</v>
      </c>
      <c r="AW14" s="1233" t="s">
        <v>587</v>
      </c>
      <c r="AX14" s="1224">
        <f t="shared" si="18"/>
        <v>0.5</v>
      </c>
      <c r="AY14" s="1225">
        <f t="shared" si="19"/>
        <v>5</v>
      </c>
      <c r="AZ14" s="1041">
        <f t="shared" si="20"/>
        <v>3</v>
      </c>
      <c r="BA14" s="1041">
        <f t="shared" si="21"/>
        <v>1</v>
      </c>
      <c r="BB14" s="1248"/>
      <c r="BC14" s="680" t="s">
        <v>587</v>
      </c>
      <c r="BD14" s="1237" t="s">
        <v>587</v>
      </c>
      <c r="BE14" s="1238" t="s">
        <v>587</v>
      </c>
      <c r="BF14" s="1239" t="s">
        <v>562</v>
      </c>
      <c r="BI14" s="1249" t="s">
        <v>35</v>
      </c>
      <c r="BJ14" s="581" t="s">
        <v>1320</v>
      </c>
      <c r="BK14" s="582"/>
      <c r="BL14" s="583"/>
      <c r="BM14" s="1242"/>
    </row>
    <row r="15" spans="1:65" s="1240" customFormat="1" ht="25.5">
      <c r="A15" s="1549"/>
      <c r="B15" s="1550"/>
      <c r="C15" s="584" t="s">
        <v>1319</v>
      </c>
      <c r="D15" s="1207">
        <f t="shared" si="3"/>
        <v>21</v>
      </c>
      <c r="E15" s="1207">
        <f t="shared" si="4"/>
        <v>7</v>
      </c>
      <c r="F15" s="1207">
        <f t="shared" si="5"/>
        <v>14</v>
      </c>
      <c r="G15" s="1223">
        <f t="shared" si="0"/>
        <v>7</v>
      </c>
      <c r="H15" s="1223">
        <f t="shared" si="0"/>
        <v>7</v>
      </c>
      <c r="I15" s="1224">
        <f t="shared" si="6"/>
        <v>0.5</v>
      </c>
      <c r="J15" s="1225">
        <f t="shared" si="7"/>
        <v>4</v>
      </c>
      <c r="K15" s="1041">
        <f t="shared" si="8"/>
        <v>0</v>
      </c>
      <c r="L15" s="1226">
        <f t="shared" si="9"/>
        <v>2</v>
      </c>
      <c r="M15" s="680" t="s">
        <v>562</v>
      </c>
      <c r="N15" s="1232"/>
      <c r="O15" s="1232" t="s">
        <v>562</v>
      </c>
      <c r="P15" s="1243"/>
      <c r="Q15" s="1224">
        <f t="shared" si="10"/>
        <v>0.5625</v>
      </c>
      <c r="R15" s="1225">
        <f t="shared" si="11"/>
        <v>9</v>
      </c>
      <c r="S15" s="579">
        <f t="shared" si="12"/>
        <v>3</v>
      </c>
      <c r="T15" s="1041">
        <f t="shared" si="13"/>
        <v>3</v>
      </c>
      <c r="U15" s="680" t="s">
        <v>562</v>
      </c>
      <c r="V15" s="1230" t="s">
        <v>562</v>
      </c>
      <c r="W15" s="680" t="s">
        <v>587</v>
      </c>
      <c r="X15" s="680"/>
      <c r="Y15" s="1230"/>
      <c r="Z15" s="680" t="s">
        <v>587</v>
      </c>
      <c r="AA15" s="1231" t="s">
        <v>562</v>
      </c>
      <c r="AB15" s="680" t="s">
        <v>587</v>
      </c>
      <c r="AC15" s="1244"/>
      <c r="AD15" s="1244"/>
      <c r="AE15" s="1041">
        <f t="shared" si="14"/>
        <v>0</v>
      </c>
      <c r="AF15" s="1041">
        <f t="shared" si="15"/>
        <v>0</v>
      </c>
      <c r="AG15" s="1227"/>
      <c r="AH15" s="1232"/>
      <c r="AI15" s="1232"/>
      <c r="AJ15" s="1245"/>
      <c r="AK15" s="1246"/>
      <c r="AL15" s="1247"/>
      <c r="AM15" s="1224">
        <f t="shared" si="16"/>
        <v>0.35714285714285715</v>
      </c>
      <c r="AN15" s="1225">
        <f t="shared" si="17"/>
        <v>5</v>
      </c>
      <c r="AO15" s="1041">
        <f t="shared" si="1"/>
        <v>1</v>
      </c>
      <c r="AP15" s="1041">
        <f t="shared" si="2"/>
        <v>2</v>
      </c>
      <c r="AQ15" s="1228" t="s">
        <v>587</v>
      </c>
      <c r="AR15" s="1228"/>
      <c r="AS15" s="1228"/>
      <c r="AT15" s="1228"/>
      <c r="AU15" s="1233"/>
      <c r="AV15" s="1228" t="s">
        <v>562</v>
      </c>
      <c r="AW15" s="1233" t="s">
        <v>562</v>
      </c>
      <c r="AX15" s="1224">
        <f t="shared" si="18"/>
        <v>0.3</v>
      </c>
      <c r="AY15" s="1225">
        <f t="shared" si="19"/>
        <v>3</v>
      </c>
      <c r="AZ15" s="1041">
        <f t="shared" si="20"/>
        <v>3</v>
      </c>
      <c r="BA15" s="1041">
        <f t="shared" si="21"/>
        <v>0</v>
      </c>
      <c r="BB15" s="1248"/>
      <c r="BC15" s="680" t="s">
        <v>843</v>
      </c>
      <c r="BD15" s="1237" t="s">
        <v>587</v>
      </c>
      <c r="BE15" s="1238" t="s">
        <v>587</v>
      </c>
      <c r="BF15" s="1239" t="s">
        <v>587</v>
      </c>
      <c r="BI15" s="1249" t="s">
        <v>1318</v>
      </c>
      <c r="BJ15" s="581" t="s">
        <v>1428</v>
      </c>
      <c r="BK15" s="582"/>
      <c r="BL15" s="583"/>
      <c r="BM15" s="1242"/>
    </row>
    <row r="16" spans="1:65" s="1240" customFormat="1" ht="45">
      <c r="A16" s="1549"/>
      <c r="B16" s="1550"/>
      <c r="C16" s="584" t="s">
        <v>1317</v>
      </c>
      <c r="D16" s="1207">
        <f t="shared" si="3"/>
        <v>25</v>
      </c>
      <c r="E16" s="1207">
        <f t="shared" si="4"/>
        <v>5</v>
      </c>
      <c r="F16" s="1207">
        <f t="shared" si="5"/>
        <v>20</v>
      </c>
      <c r="G16" s="1223">
        <f t="shared" si="0"/>
        <v>5</v>
      </c>
      <c r="H16" s="1223">
        <f t="shared" si="0"/>
        <v>10</v>
      </c>
      <c r="I16" s="1224">
        <f t="shared" si="6"/>
        <v>0.375</v>
      </c>
      <c r="J16" s="1225">
        <f t="shared" si="7"/>
        <v>3</v>
      </c>
      <c r="K16" s="1041">
        <f t="shared" si="8"/>
        <v>1</v>
      </c>
      <c r="L16" s="1226">
        <f t="shared" si="9"/>
        <v>1</v>
      </c>
      <c r="M16" s="680" t="s">
        <v>587</v>
      </c>
      <c r="N16" s="1232"/>
      <c r="O16" s="1232" t="s">
        <v>562</v>
      </c>
      <c r="P16" s="1243"/>
      <c r="Q16" s="1224">
        <f t="shared" si="10"/>
        <v>0.875</v>
      </c>
      <c r="R16" s="1225">
        <f t="shared" si="11"/>
        <v>14</v>
      </c>
      <c r="S16" s="579">
        <f t="shared" si="12"/>
        <v>0</v>
      </c>
      <c r="T16" s="1041">
        <f t="shared" si="13"/>
        <v>7</v>
      </c>
      <c r="U16" s="680" t="s">
        <v>562</v>
      </c>
      <c r="V16" s="1230" t="s">
        <v>562</v>
      </c>
      <c r="W16" s="680" t="s">
        <v>562</v>
      </c>
      <c r="X16" s="680"/>
      <c r="Y16" s="1230" t="s">
        <v>562</v>
      </c>
      <c r="Z16" s="680" t="s">
        <v>562</v>
      </c>
      <c r="AA16" s="1231" t="s">
        <v>562</v>
      </c>
      <c r="AB16" s="680" t="s">
        <v>562</v>
      </c>
      <c r="AC16" s="1244"/>
      <c r="AD16" s="1244"/>
      <c r="AE16" s="1041">
        <f t="shared" si="14"/>
        <v>0</v>
      </c>
      <c r="AF16" s="1041">
        <f t="shared" si="15"/>
        <v>0</v>
      </c>
      <c r="AG16" s="1227"/>
      <c r="AH16" s="1232"/>
      <c r="AI16" s="1232"/>
      <c r="AJ16" s="1245"/>
      <c r="AK16" s="1246"/>
      <c r="AL16" s="1247"/>
      <c r="AM16" s="1224">
        <f t="shared" si="16"/>
        <v>0.2857142857142857</v>
      </c>
      <c r="AN16" s="1225">
        <f t="shared" si="17"/>
        <v>4</v>
      </c>
      <c r="AO16" s="1041">
        <f t="shared" si="1"/>
        <v>2</v>
      </c>
      <c r="AP16" s="1041">
        <f t="shared" si="2"/>
        <v>1</v>
      </c>
      <c r="AQ16" s="1228" t="s">
        <v>587</v>
      </c>
      <c r="AR16" s="1228"/>
      <c r="AS16" s="1228"/>
      <c r="AT16" s="1228"/>
      <c r="AU16" s="1233"/>
      <c r="AV16" s="1228" t="s">
        <v>562</v>
      </c>
      <c r="AW16" s="1233" t="s">
        <v>587</v>
      </c>
      <c r="AX16" s="1224">
        <f t="shared" si="18"/>
        <v>0.4</v>
      </c>
      <c r="AY16" s="1225">
        <f t="shared" si="19"/>
        <v>4</v>
      </c>
      <c r="AZ16" s="1041">
        <f t="shared" si="20"/>
        <v>2</v>
      </c>
      <c r="BA16" s="1041">
        <f t="shared" si="21"/>
        <v>1</v>
      </c>
      <c r="BB16" s="1248"/>
      <c r="BC16" s="680" t="s">
        <v>843</v>
      </c>
      <c r="BD16" s="1237" t="s">
        <v>587</v>
      </c>
      <c r="BE16" s="1238" t="s">
        <v>562</v>
      </c>
      <c r="BF16" s="1239" t="s">
        <v>587</v>
      </c>
      <c r="BI16" s="1249" t="s">
        <v>1316</v>
      </c>
      <c r="BJ16" s="581" t="s">
        <v>1315</v>
      </c>
      <c r="BK16" s="582"/>
      <c r="BL16" s="583"/>
      <c r="BM16" s="1242"/>
    </row>
    <row r="17" spans="1:65" s="1240" customFormat="1" ht="22.5">
      <c r="A17" s="1549"/>
      <c r="B17" s="1550"/>
      <c r="C17" s="584" t="s">
        <v>1314</v>
      </c>
      <c r="D17" s="1207">
        <f t="shared" si="3"/>
        <v>21</v>
      </c>
      <c r="E17" s="1207">
        <f t="shared" si="4"/>
        <v>7</v>
      </c>
      <c r="F17" s="1207">
        <f t="shared" si="5"/>
        <v>14</v>
      </c>
      <c r="G17" s="1223">
        <f t="shared" si="0"/>
        <v>7</v>
      </c>
      <c r="H17" s="1223">
        <f t="shared" si="0"/>
        <v>7</v>
      </c>
      <c r="I17" s="1224">
        <f t="shared" si="6"/>
        <v>0.625</v>
      </c>
      <c r="J17" s="1225">
        <f t="shared" si="7"/>
        <v>5</v>
      </c>
      <c r="K17" s="1041">
        <f t="shared" si="8"/>
        <v>1</v>
      </c>
      <c r="L17" s="1226">
        <f t="shared" si="9"/>
        <v>2</v>
      </c>
      <c r="M17" s="680" t="s">
        <v>562</v>
      </c>
      <c r="N17" s="1232" t="s">
        <v>587</v>
      </c>
      <c r="O17" s="1232" t="s">
        <v>562</v>
      </c>
      <c r="P17" s="1243"/>
      <c r="Q17" s="1224">
        <f t="shared" si="10"/>
        <v>0.4375</v>
      </c>
      <c r="R17" s="1225">
        <f t="shared" si="11"/>
        <v>7</v>
      </c>
      <c r="S17" s="579">
        <f t="shared" si="12"/>
        <v>1</v>
      </c>
      <c r="T17" s="1041">
        <f t="shared" si="13"/>
        <v>3</v>
      </c>
      <c r="U17" s="680" t="s">
        <v>562</v>
      </c>
      <c r="V17" s="1230"/>
      <c r="W17" s="680" t="s">
        <v>587</v>
      </c>
      <c r="X17" s="680"/>
      <c r="Y17" s="1230" t="s">
        <v>562</v>
      </c>
      <c r="Z17" s="680" t="s">
        <v>562</v>
      </c>
      <c r="AA17" s="1231"/>
      <c r="AB17" s="680"/>
      <c r="AC17" s="1244"/>
      <c r="AD17" s="1244"/>
      <c r="AE17" s="1041">
        <f t="shared" si="14"/>
        <v>0</v>
      </c>
      <c r="AF17" s="1041">
        <f t="shared" si="15"/>
        <v>0</v>
      </c>
      <c r="AG17" s="1227"/>
      <c r="AH17" s="1232"/>
      <c r="AI17" s="1232"/>
      <c r="AJ17" s="1245"/>
      <c r="AK17" s="1246"/>
      <c r="AL17" s="1247"/>
      <c r="AM17" s="1224">
        <f t="shared" si="16"/>
        <v>0.2857142857142857</v>
      </c>
      <c r="AN17" s="1225">
        <f t="shared" si="17"/>
        <v>4</v>
      </c>
      <c r="AO17" s="1041">
        <f t="shared" si="1"/>
        <v>2</v>
      </c>
      <c r="AP17" s="1041">
        <f t="shared" si="2"/>
        <v>1</v>
      </c>
      <c r="AQ17" s="1228" t="s">
        <v>587</v>
      </c>
      <c r="AR17" s="1228"/>
      <c r="AS17" s="1228"/>
      <c r="AT17" s="1228"/>
      <c r="AU17" s="1233"/>
      <c r="AV17" s="1228" t="s">
        <v>562</v>
      </c>
      <c r="AW17" s="1233" t="s">
        <v>587</v>
      </c>
      <c r="AX17" s="1224">
        <f t="shared" si="18"/>
        <v>0.5</v>
      </c>
      <c r="AY17" s="1225">
        <f t="shared" si="19"/>
        <v>5</v>
      </c>
      <c r="AZ17" s="1041">
        <f t="shared" si="20"/>
        <v>3</v>
      </c>
      <c r="BA17" s="1041">
        <f t="shared" si="21"/>
        <v>1</v>
      </c>
      <c r="BB17" s="1248"/>
      <c r="BC17" s="680" t="s">
        <v>587</v>
      </c>
      <c r="BD17" s="1237" t="s">
        <v>587</v>
      </c>
      <c r="BE17" s="1238" t="s">
        <v>587</v>
      </c>
      <c r="BF17" s="1239" t="s">
        <v>562</v>
      </c>
      <c r="BI17" s="1241" t="s">
        <v>1313</v>
      </c>
      <c r="BJ17" s="581" t="s">
        <v>1312</v>
      </c>
      <c r="BK17" s="582"/>
      <c r="BL17" s="583"/>
      <c r="BM17" s="1242"/>
    </row>
    <row r="18" spans="1:65" s="1240" customFormat="1" ht="25.5">
      <c r="A18" s="1549"/>
      <c r="B18" s="1550"/>
      <c r="C18" s="584" t="s">
        <v>1311</v>
      </c>
      <c r="D18" s="1207">
        <f t="shared" si="3"/>
        <v>21</v>
      </c>
      <c r="E18" s="1207">
        <f t="shared" si="4"/>
        <v>7</v>
      </c>
      <c r="F18" s="1207">
        <f t="shared" si="5"/>
        <v>14</v>
      </c>
      <c r="G18" s="1223">
        <f t="shared" si="0"/>
        <v>7</v>
      </c>
      <c r="H18" s="1223">
        <f t="shared" si="0"/>
        <v>7</v>
      </c>
      <c r="I18" s="1224">
        <f t="shared" si="6"/>
        <v>0.25</v>
      </c>
      <c r="J18" s="1225">
        <f t="shared" si="7"/>
        <v>2</v>
      </c>
      <c r="K18" s="1041">
        <f t="shared" si="8"/>
        <v>0</v>
      </c>
      <c r="L18" s="1226">
        <f t="shared" si="9"/>
        <v>1</v>
      </c>
      <c r="M18" s="1227"/>
      <c r="N18" s="1228"/>
      <c r="O18" s="1228" t="s">
        <v>562</v>
      </c>
      <c r="P18" s="1229"/>
      <c r="Q18" s="1224">
        <f t="shared" si="10"/>
        <v>0.75</v>
      </c>
      <c r="R18" s="1225">
        <f t="shared" si="11"/>
        <v>12</v>
      </c>
      <c r="S18" s="579">
        <f t="shared" si="12"/>
        <v>2</v>
      </c>
      <c r="T18" s="1041">
        <f t="shared" si="13"/>
        <v>5</v>
      </c>
      <c r="U18" s="1227" t="s">
        <v>587</v>
      </c>
      <c r="V18" s="1230" t="s">
        <v>562</v>
      </c>
      <c r="W18" s="1227" t="s">
        <v>562</v>
      </c>
      <c r="X18" s="1227"/>
      <c r="Y18" s="1230" t="s">
        <v>562</v>
      </c>
      <c r="Z18" s="1227" t="s">
        <v>562</v>
      </c>
      <c r="AA18" s="1231" t="s">
        <v>562</v>
      </c>
      <c r="AB18" s="1227" t="s">
        <v>587</v>
      </c>
      <c r="AC18" s="1225"/>
      <c r="AD18" s="1225"/>
      <c r="AE18" s="1041">
        <f t="shared" si="14"/>
        <v>0</v>
      </c>
      <c r="AF18" s="1041">
        <f t="shared" si="15"/>
        <v>0</v>
      </c>
      <c r="AG18" s="1227"/>
      <c r="AH18" s="1232"/>
      <c r="AI18" s="1228"/>
      <c r="AJ18" s="1233"/>
      <c r="AK18" s="1234"/>
      <c r="AL18" s="1235"/>
      <c r="AM18" s="1224">
        <f t="shared" si="16"/>
        <v>0.2857142857142857</v>
      </c>
      <c r="AN18" s="1225">
        <f t="shared" si="17"/>
        <v>4</v>
      </c>
      <c r="AO18" s="1041">
        <f t="shared" si="1"/>
        <v>2</v>
      </c>
      <c r="AP18" s="1041">
        <f t="shared" si="2"/>
        <v>1</v>
      </c>
      <c r="AQ18" s="1228" t="s">
        <v>587</v>
      </c>
      <c r="AR18" s="1228"/>
      <c r="AS18" s="1228"/>
      <c r="AT18" s="1228"/>
      <c r="AU18" s="1233"/>
      <c r="AV18" s="1228" t="s">
        <v>562</v>
      </c>
      <c r="AW18" s="1233" t="s">
        <v>587</v>
      </c>
      <c r="AX18" s="1224">
        <f t="shared" si="18"/>
        <v>0.3</v>
      </c>
      <c r="AY18" s="1225">
        <f t="shared" si="19"/>
        <v>3</v>
      </c>
      <c r="AZ18" s="1041">
        <f t="shared" si="20"/>
        <v>3</v>
      </c>
      <c r="BA18" s="1041">
        <f t="shared" si="21"/>
        <v>0</v>
      </c>
      <c r="BB18" s="1223"/>
      <c r="BC18" s="1236" t="s">
        <v>587</v>
      </c>
      <c r="BD18" s="1237"/>
      <c r="BE18" s="1238" t="s">
        <v>587</v>
      </c>
      <c r="BF18" s="1239" t="s">
        <v>587</v>
      </c>
      <c r="BI18" s="1249" t="s">
        <v>979</v>
      </c>
      <c r="BJ18" s="587" t="s">
        <v>1310</v>
      </c>
      <c r="BK18" s="582"/>
      <c r="BL18" s="583"/>
      <c r="BM18" s="1242"/>
    </row>
    <row r="19" spans="1:65" s="1240" customFormat="1" ht="22.5">
      <c r="A19" s="1549"/>
      <c r="B19" s="1550"/>
      <c r="C19" s="584" t="s">
        <v>1309</v>
      </c>
      <c r="D19" s="1207">
        <f t="shared" si="3"/>
        <v>21</v>
      </c>
      <c r="E19" s="1207">
        <f t="shared" si="4"/>
        <v>9</v>
      </c>
      <c r="F19" s="1207">
        <f t="shared" si="5"/>
        <v>12</v>
      </c>
      <c r="G19" s="1223">
        <f t="shared" si="0"/>
        <v>9</v>
      </c>
      <c r="H19" s="1223">
        <f t="shared" si="0"/>
        <v>6</v>
      </c>
      <c r="I19" s="1224">
        <f t="shared" si="6"/>
        <v>0.25</v>
      </c>
      <c r="J19" s="1225">
        <f t="shared" si="7"/>
        <v>2</v>
      </c>
      <c r="K19" s="1041">
        <f t="shared" si="8"/>
        <v>0</v>
      </c>
      <c r="L19" s="1226">
        <f t="shared" si="9"/>
        <v>1</v>
      </c>
      <c r="M19" s="1227"/>
      <c r="N19" s="1228"/>
      <c r="O19" s="1228" t="s">
        <v>562</v>
      </c>
      <c r="P19" s="1229"/>
      <c r="Q19" s="1224">
        <f t="shared" si="10"/>
        <v>0.6875</v>
      </c>
      <c r="R19" s="1225">
        <f t="shared" si="11"/>
        <v>11</v>
      </c>
      <c r="S19" s="579">
        <f t="shared" si="12"/>
        <v>3</v>
      </c>
      <c r="T19" s="1041">
        <f t="shared" si="13"/>
        <v>4</v>
      </c>
      <c r="U19" s="1227" t="s">
        <v>587</v>
      </c>
      <c r="V19" s="1230" t="s">
        <v>587</v>
      </c>
      <c r="W19" s="1227" t="s">
        <v>562</v>
      </c>
      <c r="X19" s="1227"/>
      <c r="Y19" s="1230" t="s">
        <v>562</v>
      </c>
      <c r="Z19" s="1227" t="s">
        <v>562</v>
      </c>
      <c r="AA19" s="1231" t="s">
        <v>562</v>
      </c>
      <c r="AB19" s="1227" t="s">
        <v>587</v>
      </c>
      <c r="AC19" s="1225"/>
      <c r="AD19" s="1225"/>
      <c r="AE19" s="1041">
        <f t="shared" si="14"/>
        <v>0</v>
      </c>
      <c r="AF19" s="1041">
        <f t="shared" si="15"/>
        <v>0</v>
      </c>
      <c r="AG19" s="1227"/>
      <c r="AH19" s="1232"/>
      <c r="AI19" s="1228"/>
      <c r="AJ19" s="1233"/>
      <c r="AK19" s="1234"/>
      <c r="AL19" s="1235"/>
      <c r="AM19" s="1224">
        <f t="shared" si="16"/>
        <v>0.2857142857142857</v>
      </c>
      <c r="AN19" s="1225">
        <f t="shared" si="17"/>
        <v>4</v>
      </c>
      <c r="AO19" s="1041">
        <f t="shared" si="1"/>
        <v>2</v>
      </c>
      <c r="AP19" s="1041">
        <f t="shared" si="2"/>
        <v>1</v>
      </c>
      <c r="AQ19" s="1228" t="s">
        <v>587</v>
      </c>
      <c r="AR19" s="1228"/>
      <c r="AS19" s="1228"/>
      <c r="AT19" s="1228"/>
      <c r="AU19" s="1233"/>
      <c r="AV19" s="1228" t="s">
        <v>562</v>
      </c>
      <c r="AW19" s="1233" t="s">
        <v>587</v>
      </c>
      <c r="AX19" s="1224">
        <f t="shared" si="18"/>
        <v>0.4</v>
      </c>
      <c r="AY19" s="1225">
        <f t="shared" si="19"/>
        <v>4</v>
      </c>
      <c r="AZ19" s="1041">
        <f t="shared" si="20"/>
        <v>4</v>
      </c>
      <c r="BA19" s="1041">
        <f t="shared" si="21"/>
        <v>0</v>
      </c>
      <c r="BB19" s="1223"/>
      <c r="BC19" s="1236" t="s">
        <v>587</v>
      </c>
      <c r="BD19" s="1237" t="s">
        <v>587</v>
      </c>
      <c r="BE19" s="1238" t="s">
        <v>587</v>
      </c>
      <c r="BF19" s="1239" t="s">
        <v>587</v>
      </c>
      <c r="BI19" s="1249" t="s">
        <v>978</v>
      </c>
      <c r="BJ19" s="587" t="s">
        <v>1429</v>
      </c>
      <c r="BK19" s="582"/>
      <c r="BL19" s="583"/>
      <c r="BM19" s="1242"/>
    </row>
    <row r="20" spans="1:65" s="1240" customFormat="1" ht="22.5">
      <c r="A20" s="1549"/>
      <c r="B20" s="1550"/>
      <c r="C20" s="584" t="s">
        <v>1308</v>
      </c>
      <c r="D20" s="1207">
        <f t="shared" si="3"/>
        <v>24</v>
      </c>
      <c r="E20" s="1207">
        <f t="shared" si="4"/>
        <v>6</v>
      </c>
      <c r="F20" s="1207">
        <f t="shared" si="5"/>
        <v>18</v>
      </c>
      <c r="G20" s="1223">
        <f t="shared" si="0"/>
        <v>6</v>
      </c>
      <c r="H20" s="1223">
        <f t="shared" si="0"/>
        <v>9</v>
      </c>
      <c r="I20" s="1224">
        <f t="shared" si="6"/>
        <v>0.25</v>
      </c>
      <c r="J20" s="1225">
        <f t="shared" si="7"/>
        <v>2</v>
      </c>
      <c r="K20" s="1041">
        <f t="shared" si="8"/>
        <v>0</v>
      </c>
      <c r="L20" s="1226">
        <f t="shared" si="9"/>
        <v>1</v>
      </c>
      <c r="M20" s="1227"/>
      <c r="N20" s="1228"/>
      <c r="O20" s="1228" t="s">
        <v>562</v>
      </c>
      <c r="P20" s="1229"/>
      <c r="Q20" s="1224">
        <f t="shared" si="10"/>
        <v>0.75</v>
      </c>
      <c r="R20" s="1225">
        <f t="shared" si="11"/>
        <v>12</v>
      </c>
      <c r="S20" s="579">
        <f t="shared" si="12"/>
        <v>2</v>
      </c>
      <c r="T20" s="1041">
        <f t="shared" si="13"/>
        <v>5</v>
      </c>
      <c r="U20" s="1227" t="s">
        <v>587</v>
      </c>
      <c r="V20" s="1230" t="s">
        <v>562</v>
      </c>
      <c r="W20" s="1227" t="s">
        <v>587</v>
      </c>
      <c r="X20" s="1227"/>
      <c r="Y20" s="1230" t="s">
        <v>562</v>
      </c>
      <c r="Z20" s="1227" t="s">
        <v>562</v>
      </c>
      <c r="AA20" s="1231" t="s">
        <v>562</v>
      </c>
      <c r="AB20" s="1227" t="s">
        <v>562</v>
      </c>
      <c r="AC20" s="1225"/>
      <c r="AD20" s="1225"/>
      <c r="AE20" s="1041">
        <f t="shared" si="14"/>
        <v>0</v>
      </c>
      <c r="AF20" s="1041">
        <f t="shared" si="15"/>
        <v>0</v>
      </c>
      <c r="AG20" s="1227"/>
      <c r="AH20" s="1232"/>
      <c r="AI20" s="1228"/>
      <c r="AJ20" s="1233"/>
      <c r="AK20" s="1234"/>
      <c r="AL20" s="1235"/>
      <c r="AM20" s="1224">
        <f t="shared" si="16"/>
        <v>0.2857142857142857</v>
      </c>
      <c r="AN20" s="1225">
        <f t="shared" si="17"/>
        <v>4</v>
      </c>
      <c r="AO20" s="1041">
        <f t="shared" si="1"/>
        <v>2</v>
      </c>
      <c r="AP20" s="1041">
        <f t="shared" si="2"/>
        <v>1</v>
      </c>
      <c r="AQ20" s="1228" t="s">
        <v>587</v>
      </c>
      <c r="AR20" s="1228"/>
      <c r="AS20" s="1228"/>
      <c r="AT20" s="1228"/>
      <c r="AU20" s="1233"/>
      <c r="AV20" s="1228" t="s">
        <v>562</v>
      </c>
      <c r="AW20" s="1233" t="s">
        <v>587</v>
      </c>
      <c r="AX20" s="1224">
        <f t="shared" si="18"/>
        <v>0.6</v>
      </c>
      <c r="AY20" s="1225">
        <f t="shared" si="19"/>
        <v>6</v>
      </c>
      <c r="AZ20" s="1041">
        <f t="shared" si="20"/>
        <v>2</v>
      </c>
      <c r="BA20" s="1041">
        <f>COUNTIF(BB20:BF20, "H")</f>
        <v>2</v>
      </c>
      <c r="BB20" s="1223"/>
      <c r="BC20" s="1236" t="s">
        <v>587</v>
      </c>
      <c r="BD20" s="1237" t="s">
        <v>587</v>
      </c>
      <c r="BE20" s="1238" t="s">
        <v>562</v>
      </c>
      <c r="BF20" s="1239" t="s">
        <v>562</v>
      </c>
      <c r="BI20" s="1249" t="s">
        <v>980</v>
      </c>
      <c r="BJ20" s="587" t="s">
        <v>1398</v>
      </c>
      <c r="BK20" s="582"/>
      <c r="BL20" s="583"/>
      <c r="BM20" s="1242"/>
    </row>
    <row r="21" spans="1:65" s="1240" customFormat="1" ht="25.5">
      <c r="A21" s="1549"/>
      <c r="B21" s="1042" t="s">
        <v>1033</v>
      </c>
      <c r="C21" s="584" t="s">
        <v>1034</v>
      </c>
      <c r="D21" s="1207">
        <f t="shared" si="3"/>
        <v>24</v>
      </c>
      <c r="E21" s="1207">
        <f t="shared" si="4"/>
        <v>6</v>
      </c>
      <c r="F21" s="1207">
        <f t="shared" si="5"/>
        <v>18</v>
      </c>
      <c r="G21" s="1223">
        <f t="shared" si="0"/>
        <v>6</v>
      </c>
      <c r="H21" s="1223">
        <f t="shared" si="0"/>
        <v>9</v>
      </c>
      <c r="I21" s="1224">
        <f t="shared" si="6"/>
        <v>0.75</v>
      </c>
      <c r="J21" s="1225">
        <f t="shared" si="7"/>
        <v>6</v>
      </c>
      <c r="K21" s="1041">
        <f t="shared" si="8"/>
        <v>0</v>
      </c>
      <c r="L21" s="1226">
        <f t="shared" si="9"/>
        <v>3</v>
      </c>
      <c r="M21" s="1227" t="s">
        <v>562</v>
      </c>
      <c r="N21" s="1228" t="s">
        <v>562</v>
      </c>
      <c r="O21" s="1228" t="s">
        <v>562</v>
      </c>
      <c r="P21" s="1229"/>
      <c r="Q21" s="1224">
        <f t="shared" si="10"/>
        <v>0.5</v>
      </c>
      <c r="R21" s="1225">
        <f t="shared" si="11"/>
        <v>8</v>
      </c>
      <c r="S21" s="579">
        <f t="shared" si="12"/>
        <v>2</v>
      </c>
      <c r="T21" s="1041">
        <f t="shared" si="13"/>
        <v>3</v>
      </c>
      <c r="U21" s="1227" t="s">
        <v>587</v>
      </c>
      <c r="V21" s="1230" t="s">
        <v>562</v>
      </c>
      <c r="W21" s="1227" t="s">
        <v>562</v>
      </c>
      <c r="X21" s="1227"/>
      <c r="Y21" s="1230"/>
      <c r="Z21" s="1227" t="s">
        <v>562</v>
      </c>
      <c r="AA21" s="1231"/>
      <c r="AB21" s="1227" t="s">
        <v>587</v>
      </c>
      <c r="AC21" s="1225"/>
      <c r="AD21" s="1225"/>
      <c r="AE21" s="1041">
        <f t="shared" si="14"/>
        <v>0</v>
      </c>
      <c r="AF21" s="1041">
        <f t="shared" si="15"/>
        <v>0</v>
      </c>
      <c r="AG21" s="1227"/>
      <c r="AH21" s="1232"/>
      <c r="AI21" s="1228"/>
      <c r="AJ21" s="1233"/>
      <c r="AK21" s="1234"/>
      <c r="AL21" s="1235"/>
      <c r="AM21" s="1224">
        <f t="shared" si="16"/>
        <v>0.35714285714285715</v>
      </c>
      <c r="AN21" s="1225">
        <f t="shared" si="17"/>
        <v>5</v>
      </c>
      <c r="AO21" s="1041">
        <f t="shared" si="1"/>
        <v>3</v>
      </c>
      <c r="AP21" s="1041">
        <f t="shared" si="2"/>
        <v>1</v>
      </c>
      <c r="AQ21" s="1228" t="s">
        <v>587</v>
      </c>
      <c r="AR21" s="1228"/>
      <c r="AS21" s="1228" t="s">
        <v>587</v>
      </c>
      <c r="AT21" s="1228"/>
      <c r="AU21" s="1233"/>
      <c r="AV21" s="1228" t="s">
        <v>562</v>
      </c>
      <c r="AW21" s="1233" t="s">
        <v>587</v>
      </c>
      <c r="AX21" s="1224">
        <f t="shared" si="18"/>
        <v>0.5</v>
      </c>
      <c r="AY21" s="1225">
        <f t="shared" si="19"/>
        <v>5</v>
      </c>
      <c r="AZ21" s="1041">
        <f t="shared" si="20"/>
        <v>1</v>
      </c>
      <c r="BA21" s="1041">
        <f t="shared" si="21"/>
        <v>2</v>
      </c>
      <c r="BB21" s="1223"/>
      <c r="BC21" s="1236"/>
      <c r="BD21" s="1237" t="s">
        <v>587</v>
      </c>
      <c r="BE21" s="1238" t="s">
        <v>562</v>
      </c>
      <c r="BF21" s="1239" t="s">
        <v>562</v>
      </c>
      <c r="BI21" s="1241"/>
      <c r="BJ21" s="581" t="s">
        <v>1307</v>
      </c>
      <c r="BK21" s="582"/>
      <c r="BL21" s="583"/>
      <c r="BM21" s="1242" t="s">
        <v>1448</v>
      </c>
    </row>
    <row r="22" spans="1:65" s="1240" customFormat="1" ht="33.75">
      <c r="A22" s="1549"/>
      <c r="B22" s="1042" t="s">
        <v>857</v>
      </c>
      <c r="C22" s="584" t="s">
        <v>1306</v>
      </c>
      <c r="D22" s="1207">
        <f t="shared" si="3"/>
        <v>27</v>
      </c>
      <c r="E22" s="1207">
        <f t="shared" si="4"/>
        <v>9</v>
      </c>
      <c r="F22" s="1207">
        <f t="shared" si="5"/>
        <v>18</v>
      </c>
      <c r="G22" s="1223">
        <f t="shared" si="0"/>
        <v>9</v>
      </c>
      <c r="H22" s="1223">
        <f t="shared" si="0"/>
        <v>9</v>
      </c>
      <c r="I22" s="1224">
        <f t="shared" si="6"/>
        <v>0.5</v>
      </c>
      <c r="J22" s="1225">
        <f t="shared" si="7"/>
        <v>4</v>
      </c>
      <c r="K22" s="1041">
        <f t="shared" si="8"/>
        <v>2</v>
      </c>
      <c r="L22" s="1226">
        <f t="shared" si="9"/>
        <v>1</v>
      </c>
      <c r="M22" s="1227" t="s">
        <v>562</v>
      </c>
      <c r="N22" s="1228" t="s">
        <v>587</v>
      </c>
      <c r="O22" s="1228" t="s">
        <v>587</v>
      </c>
      <c r="P22" s="1229"/>
      <c r="Q22" s="1224">
        <f t="shared" si="10"/>
        <v>0.6875</v>
      </c>
      <c r="R22" s="1225">
        <f t="shared" si="11"/>
        <v>11</v>
      </c>
      <c r="S22" s="579">
        <f t="shared" si="12"/>
        <v>3</v>
      </c>
      <c r="T22" s="1041">
        <f t="shared" si="13"/>
        <v>4</v>
      </c>
      <c r="U22" s="1227" t="s">
        <v>562</v>
      </c>
      <c r="V22" s="1230" t="s">
        <v>587</v>
      </c>
      <c r="W22" s="1227" t="s">
        <v>562</v>
      </c>
      <c r="X22" s="1227"/>
      <c r="Y22" s="1230" t="s">
        <v>587</v>
      </c>
      <c r="Z22" s="1227" t="s">
        <v>587</v>
      </c>
      <c r="AA22" s="1231" t="s">
        <v>562</v>
      </c>
      <c r="AB22" s="1227" t="s">
        <v>562</v>
      </c>
      <c r="AC22" s="1225"/>
      <c r="AD22" s="1225"/>
      <c r="AE22" s="1041">
        <f t="shared" si="14"/>
        <v>0</v>
      </c>
      <c r="AF22" s="1041">
        <f t="shared" si="15"/>
        <v>0</v>
      </c>
      <c r="AG22" s="1227"/>
      <c r="AH22" s="1232"/>
      <c r="AI22" s="1228"/>
      <c r="AJ22" s="1233"/>
      <c r="AK22" s="1234"/>
      <c r="AL22" s="1235"/>
      <c r="AM22" s="1224">
        <f t="shared" si="16"/>
        <v>0.42857142857142855</v>
      </c>
      <c r="AN22" s="1225">
        <f t="shared" si="17"/>
        <v>6</v>
      </c>
      <c r="AO22" s="1041">
        <f t="shared" si="1"/>
        <v>4</v>
      </c>
      <c r="AP22" s="1041">
        <f t="shared" si="2"/>
        <v>1</v>
      </c>
      <c r="AQ22" s="1228" t="s">
        <v>587</v>
      </c>
      <c r="AR22" s="1228" t="s">
        <v>587</v>
      </c>
      <c r="AS22" s="1228" t="s">
        <v>587</v>
      </c>
      <c r="AT22" s="1228"/>
      <c r="AU22" s="1233"/>
      <c r="AV22" s="1228" t="s">
        <v>562</v>
      </c>
      <c r="AW22" s="1233" t="s">
        <v>587</v>
      </c>
      <c r="AX22" s="1224">
        <f t="shared" si="18"/>
        <v>0.6</v>
      </c>
      <c r="AY22" s="1225">
        <f t="shared" si="19"/>
        <v>6</v>
      </c>
      <c r="AZ22" s="1041">
        <f t="shared" si="20"/>
        <v>0</v>
      </c>
      <c r="BA22" s="1041">
        <f t="shared" si="21"/>
        <v>3</v>
      </c>
      <c r="BB22" s="1223"/>
      <c r="BC22" s="1236"/>
      <c r="BD22" s="1237" t="s">
        <v>562</v>
      </c>
      <c r="BE22" s="1238" t="s">
        <v>562</v>
      </c>
      <c r="BF22" s="1239" t="s">
        <v>562</v>
      </c>
      <c r="BI22" s="1241" t="s">
        <v>1305</v>
      </c>
      <c r="BJ22" s="581" t="s">
        <v>1304</v>
      </c>
      <c r="BK22" s="582"/>
      <c r="BL22" s="583"/>
      <c r="BM22" s="1242"/>
    </row>
    <row r="23" spans="1:65" s="1240" customFormat="1" ht="25.5">
      <c r="A23" s="1549"/>
      <c r="B23" s="1250" t="s">
        <v>1067</v>
      </c>
      <c r="C23" s="584" t="s">
        <v>1303</v>
      </c>
      <c r="D23" s="1207">
        <f t="shared" si="3"/>
        <v>15</v>
      </c>
      <c r="E23" s="1207">
        <f t="shared" si="4"/>
        <v>5</v>
      </c>
      <c r="F23" s="1207">
        <f t="shared" si="5"/>
        <v>10</v>
      </c>
      <c r="G23" s="1223">
        <f t="shared" si="0"/>
        <v>5</v>
      </c>
      <c r="H23" s="1223">
        <f t="shared" si="0"/>
        <v>5</v>
      </c>
      <c r="I23" s="1224">
        <f t="shared" si="6"/>
        <v>0.375</v>
      </c>
      <c r="J23" s="1225">
        <f t="shared" si="7"/>
        <v>3</v>
      </c>
      <c r="K23" s="1041">
        <f t="shared" si="8"/>
        <v>1</v>
      </c>
      <c r="L23" s="1226">
        <f t="shared" si="9"/>
        <v>1</v>
      </c>
      <c r="M23" s="680" t="s">
        <v>587</v>
      </c>
      <c r="N23" s="1232"/>
      <c r="O23" s="1232" t="s">
        <v>562</v>
      </c>
      <c r="P23" s="1243"/>
      <c r="Q23" s="1224">
        <f t="shared" si="10"/>
        <v>0.25</v>
      </c>
      <c r="R23" s="1225">
        <f t="shared" si="11"/>
        <v>4</v>
      </c>
      <c r="S23" s="579">
        <f t="shared" si="12"/>
        <v>2</v>
      </c>
      <c r="T23" s="1041">
        <f t="shared" si="13"/>
        <v>1</v>
      </c>
      <c r="U23" s="680" t="s">
        <v>587</v>
      </c>
      <c r="V23" s="1230" t="s">
        <v>587</v>
      </c>
      <c r="W23" s="680"/>
      <c r="X23" s="680"/>
      <c r="Y23" s="1230"/>
      <c r="Z23" s="680" t="s">
        <v>562</v>
      </c>
      <c r="AA23" s="1231"/>
      <c r="AB23" s="680"/>
      <c r="AC23" s="1244"/>
      <c r="AD23" s="1244"/>
      <c r="AE23" s="1041">
        <f t="shared" si="14"/>
        <v>0</v>
      </c>
      <c r="AF23" s="1041">
        <f t="shared" si="15"/>
        <v>0</v>
      </c>
      <c r="AG23" s="1227"/>
      <c r="AH23" s="1232"/>
      <c r="AI23" s="1232"/>
      <c r="AJ23" s="1245"/>
      <c r="AK23" s="1246"/>
      <c r="AL23" s="1247"/>
      <c r="AM23" s="1224">
        <f t="shared" si="16"/>
        <v>0.2857142857142857</v>
      </c>
      <c r="AN23" s="1225">
        <f t="shared" si="17"/>
        <v>4</v>
      </c>
      <c r="AO23" s="1041">
        <f t="shared" si="1"/>
        <v>2</v>
      </c>
      <c r="AP23" s="1041">
        <f t="shared" si="2"/>
        <v>1</v>
      </c>
      <c r="AQ23" s="1228" t="s">
        <v>587</v>
      </c>
      <c r="AR23" s="1228"/>
      <c r="AS23" s="1228"/>
      <c r="AT23" s="1228"/>
      <c r="AU23" s="1233"/>
      <c r="AV23" s="1228" t="s">
        <v>562</v>
      </c>
      <c r="AW23" s="1233" t="s">
        <v>587</v>
      </c>
      <c r="AX23" s="1224">
        <f t="shared" si="18"/>
        <v>0.4</v>
      </c>
      <c r="AY23" s="1225">
        <f t="shared" si="19"/>
        <v>4</v>
      </c>
      <c r="AZ23" s="1041">
        <f t="shared" si="20"/>
        <v>0</v>
      </c>
      <c r="BA23" s="1041">
        <f t="shared" si="21"/>
        <v>2</v>
      </c>
      <c r="BB23" s="1248"/>
      <c r="BC23" s="680"/>
      <c r="BD23" s="1237"/>
      <c r="BE23" s="1238" t="s">
        <v>562</v>
      </c>
      <c r="BF23" s="1239" t="s">
        <v>562</v>
      </c>
      <c r="BI23" s="1241" t="s">
        <v>1302</v>
      </c>
      <c r="BJ23" s="581" t="s">
        <v>1301</v>
      </c>
      <c r="BK23" s="583" t="s">
        <v>1458</v>
      </c>
      <c r="BL23" s="583"/>
      <c r="BM23" s="1242"/>
    </row>
    <row r="24" spans="1:65" s="1240" customFormat="1" ht="12.75">
      <c r="A24" s="1041" t="s">
        <v>1589</v>
      </c>
      <c r="B24" s="589"/>
      <c r="C24" s="584"/>
      <c r="D24" s="571"/>
      <c r="E24" s="571"/>
      <c r="F24" s="571"/>
      <c r="G24" s="1223"/>
      <c r="H24" s="1223"/>
      <c r="I24" s="1251"/>
      <c r="J24" s="1251"/>
      <c r="K24" s="819"/>
      <c r="L24" s="819"/>
      <c r="M24" s="680">
        <f>COUNTIF(M12:M23, "M")</f>
        <v>3</v>
      </c>
      <c r="N24" s="680">
        <f t="shared" ref="N24:BF24" si="22">COUNTIF(N12:N23, "M")</f>
        <v>4</v>
      </c>
      <c r="O24" s="680">
        <f t="shared" si="22"/>
        <v>1</v>
      </c>
      <c r="P24" s="1243">
        <f t="shared" si="22"/>
        <v>0</v>
      </c>
      <c r="Q24" s="1252"/>
      <c r="R24" s="286"/>
      <c r="S24" s="1248"/>
      <c r="T24" s="680"/>
      <c r="U24" s="680">
        <f t="shared" si="22"/>
        <v>6</v>
      </c>
      <c r="V24" s="680">
        <f t="shared" si="22"/>
        <v>3</v>
      </c>
      <c r="W24" s="680">
        <f t="shared" si="22"/>
        <v>3</v>
      </c>
      <c r="X24" s="680">
        <f t="shared" si="22"/>
        <v>0</v>
      </c>
      <c r="Y24" s="680">
        <f t="shared" si="22"/>
        <v>2</v>
      </c>
      <c r="Z24" s="680">
        <f t="shared" si="22"/>
        <v>3</v>
      </c>
      <c r="AA24" s="680">
        <f t="shared" si="22"/>
        <v>0</v>
      </c>
      <c r="AB24" s="680">
        <f t="shared" si="22"/>
        <v>4</v>
      </c>
      <c r="AC24" s="1252"/>
      <c r="AD24" s="1252"/>
      <c r="AE24" s="680">
        <f t="shared" si="22"/>
        <v>0</v>
      </c>
      <c r="AF24" s="680">
        <f t="shared" si="22"/>
        <v>0</v>
      </c>
      <c r="AG24" s="680">
        <f t="shared" si="22"/>
        <v>0</v>
      </c>
      <c r="AH24" s="680">
        <f t="shared" si="22"/>
        <v>0</v>
      </c>
      <c r="AI24" s="680">
        <f t="shared" si="22"/>
        <v>0</v>
      </c>
      <c r="AJ24" s="680">
        <f t="shared" si="22"/>
        <v>0</v>
      </c>
      <c r="AK24" s="680">
        <f t="shared" si="22"/>
        <v>0</v>
      </c>
      <c r="AL24" s="680">
        <f t="shared" si="22"/>
        <v>0</v>
      </c>
      <c r="AM24" s="1252"/>
      <c r="AN24" s="1252"/>
      <c r="AO24" s="680"/>
      <c r="AP24" s="680"/>
      <c r="AQ24" s="680">
        <f t="shared" si="22"/>
        <v>11</v>
      </c>
      <c r="AR24" s="680">
        <f t="shared" si="22"/>
        <v>2</v>
      </c>
      <c r="AS24" s="680">
        <f t="shared" si="22"/>
        <v>2</v>
      </c>
      <c r="AT24" s="680">
        <f t="shared" si="22"/>
        <v>2</v>
      </c>
      <c r="AU24" s="680">
        <f t="shared" si="22"/>
        <v>1</v>
      </c>
      <c r="AV24" s="680">
        <f t="shared" si="22"/>
        <v>0</v>
      </c>
      <c r="AW24" s="680">
        <f t="shared" si="22"/>
        <v>11</v>
      </c>
      <c r="AX24" s="1252"/>
      <c r="AY24" s="1252"/>
      <c r="AZ24" s="680"/>
      <c r="BA24" s="680"/>
      <c r="BB24" s="680">
        <f t="shared" si="22"/>
        <v>0</v>
      </c>
      <c r="BC24" s="680">
        <f t="shared" si="22"/>
        <v>6</v>
      </c>
      <c r="BD24" s="680">
        <f t="shared" si="22"/>
        <v>8</v>
      </c>
      <c r="BE24" s="680">
        <f t="shared" si="22"/>
        <v>5</v>
      </c>
      <c r="BF24" s="680">
        <f t="shared" si="22"/>
        <v>4</v>
      </c>
      <c r="BI24" s="1241"/>
      <c r="BJ24" s="581"/>
      <c r="BK24" s="583"/>
      <c r="BL24" s="583"/>
      <c r="BM24" s="1242"/>
    </row>
    <row r="25" spans="1:65" s="1240" customFormat="1" ht="12.75">
      <c r="A25" s="1041" t="s">
        <v>1590</v>
      </c>
      <c r="B25" s="589"/>
      <c r="C25" s="584"/>
      <c r="D25" s="571"/>
      <c r="E25" s="571"/>
      <c r="F25" s="571"/>
      <c r="G25" s="1223"/>
      <c r="H25" s="1223"/>
      <c r="I25" s="1251"/>
      <c r="J25" s="1251"/>
      <c r="K25" s="819"/>
      <c r="L25" s="819"/>
      <c r="M25" s="680">
        <f>COUNTIF(M12:M23, "H")</f>
        <v>6</v>
      </c>
      <c r="N25" s="680">
        <f t="shared" ref="N25:BF25" si="23">COUNTIF(N12:N23, "H")</f>
        <v>1</v>
      </c>
      <c r="O25" s="680">
        <f t="shared" si="23"/>
        <v>11</v>
      </c>
      <c r="P25" s="1243">
        <f t="shared" si="23"/>
        <v>0</v>
      </c>
      <c r="Q25" s="1252"/>
      <c r="R25" s="286"/>
      <c r="S25" s="1248"/>
      <c r="T25" s="680"/>
      <c r="U25" s="680">
        <f t="shared" si="23"/>
        <v>5</v>
      </c>
      <c r="V25" s="680">
        <f t="shared" si="23"/>
        <v>8</v>
      </c>
      <c r="W25" s="680">
        <f t="shared" si="23"/>
        <v>7</v>
      </c>
      <c r="X25" s="680">
        <f t="shared" si="23"/>
        <v>0</v>
      </c>
      <c r="Y25" s="680">
        <f t="shared" si="23"/>
        <v>7</v>
      </c>
      <c r="Z25" s="680">
        <f t="shared" si="23"/>
        <v>9</v>
      </c>
      <c r="AA25" s="680">
        <f t="shared" si="23"/>
        <v>8</v>
      </c>
      <c r="AB25" s="680">
        <f t="shared" si="23"/>
        <v>5</v>
      </c>
      <c r="AC25" s="1252"/>
      <c r="AD25" s="1252"/>
      <c r="AE25" s="680">
        <f t="shared" si="23"/>
        <v>0</v>
      </c>
      <c r="AF25" s="680">
        <f t="shared" si="23"/>
        <v>0</v>
      </c>
      <c r="AG25" s="680">
        <f t="shared" si="23"/>
        <v>0</v>
      </c>
      <c r="AH25" s="680">
        <f t="shared" si="23"/>
        <v>0</v>
      </c>
      <c r="AI25" s="680">
        <f t="shared" si="23"/>
        <v>0</v>
      </c>
      <c r="AJ25" s="680">
        <f t="shared" si="23"/>
        <v>0</v>
      </c>
      <c r="AK25" s="680">
        <f t="shared" si="23"/>
        <v>0</v>
      </c>
      <c r="AL25" s="680">
        <f t="shared" si="23"/>
        <v>0</v>
      </c>
      <c r="AM25" s="1252"/>
      <c r="AN25" s="1252"/>
      <c r="AO25" s="680"/>
      <c r="AP25" s="680"/>
      <c r="AQ25" s="680">
        <f t="shared" si="23"/>
        <v>1</v>
      </c>
      <c r="AR25" s="680">
        <f t="shared" si="23"/>
        <v>0</v>
      </c>
      <c r="AS25" s="680">
        <f t="shared" si="23"/>
        <v>0</v>
      </c>
      <c r="AT25" s="680">
        <f t="shared" si="23"/>
        <v>0</v>
      </c>
      <c r="AU25" s="680">
        <f t="shared" si="23"/>
        <v>0</v>
      </c>
      <c r="AV25" s="680">
        <f t="shared" si="23"/>
        <v>12</v>
      </c>
      <c r="AW25" s="680">
        <f t="shared" si="23"/>
        <v>1</v>
      </c>
      <c r="AX25" s="1252"/>
      <c r="AY25" s="1252"/>
      <c r="AZ25" s="680"/>
      <c r="BA25" s="680"/>
      <c r="BB25" s="680">
        <f t="shared" si="23"/>
        <v>0</v>
      </c>
      <c r="BC25" s="680">
        <f t="shared" si="23"/>
        <v>0</v>
      </c>
      <c r="BD25" s="680">
        <f t="shared" si="23"/>
        <v>2</v>
      </c>
      <c r="BE25" s="680">
        <f>COUNTIF(BE12:BE23, "H")</f>
        <v>7</v>
      </c>
      <c r="BF25" s="680">
        <f t="shared" si="23"/>
        <v>8</v>
      </c>
      <c r="BI25" s="1241"/>
      <c r="BJ25" s="581"/>
      <c r="BK25" s="583"/>
      <c r="BL25" s="583"/>
      <c r="BM25" s="1242"/>
    </row>
    <row r="26" spans="1:65" s="590" customFormat="1" ht="45">
      <c r="A26" s="1551" t="s">
        <v>858</v>
      </c>
      <c r="B26" s="1519" t="s">
        <v>495</v>
      </c>
      <c r="C26" s="422" t="s">
        <v>1019</v>
      </c>
      <c r="D26" s="1207">
        <f t="shared" ref="D26:D40" si="24">E26+F26</f>
        <v>30</v>
      </c>
      <c r="E26" s="1207">
        <f t="shared" ref="E26:E40" si="25">G26*1</f>
        <v>6</v>
      </c>
      <c r="F26" s="1207">
        <f t="shared" ref="F26:F40" si="26">H26*2</f>
        <v>24</v>
      </c>
      <c r="G26" s="1253">
        <f t="shared" ref="G26:H40" si="27">SUM(K26+S26+AE26+AO26+AZ26)</f>
        <v>6</v>
      </c>
      <c r="H26" s="1253">
        <f t="shared" si="27"/>
        <v>12</v>
      </c>
      <c r="I26" s="1224">
        <f t="shared" ref="I26:I40" si="28">J26/8</f>
        <v>0.625</v>
      </c>
      <c r="J26" s="1225">
        <f t="shared" ref="J26:J40" si="29">K26+(L26*2)</f>
        <v>5</v>
      </c>
      <c r="K26" s="932">
        <f t="shared" ref="K26:K40" si="30">COUNTIF(M26:P26, "M")</f>
        <v>1</v>
      </c>
      <c r="L26" s="1254">
        <f>COUNTIF(M26:P26, "H")</f>
        <v>2</v>
      </c>
      <c r="M26" s="681" t="s">
        <v>562</v>
      </c>
      <c r="N26" s="681" t="s">
        <v>587</v>
      </c>
      <c r="O26" s="681" t="s">
        <v>562</v>
      </c>
      <c r="P26" s="663"/>
      <c r="Q26" s="1224">
        <f t="shared" ref="Q26:Q40" si="31">R26/16</f>
        <v>0.8125</v>
      </c>
      <c r="R26" s="1225">
        <f t="shared" ref="R26:R40" si="32">S26+(T26*2)</f>
        <v>13</v>
      </c>
      <c r="S26" s="940">
        <f>COUNTIF(U26:AB26, "M")</f>
        <v>1</v>
      </c>
      <c r="T26" s="932">
        <f>COUNTIF(U26:AB26, "H")</f>
        <v>6</v>
      </c>
      <c r="U26" s="681" t="s">
        <v>562</v>
      </c>
      <c r="V26" s="649" t="s">
        <v>562</v>
      </c>
      <c r="W26" s="681" t="s">
        <v>562</v>
      </c>
      <c r="X26" s="681"/>
      <c r="Y26" s="649" t="s">
        <v>587</v>
      </c>
      <c r="Z26" s="681" t="s">
        <v>562</v>
      </c>
      <c r="AA26" s="1255" t="s">
        <v>562</v>
      </c>
      <c r="AB26" s="681" t="s">
        <v>562</v>
      </c>
      <c r="AC26" s="1244"/>
      <c r="AD26" s="1244"/>
      <c r="AE26" s="932">
        <f>COUNTIF(AG26:AL26, "M")</f>
        <v>0</v>
      </c>
      <c r="AF26" s="932">
        <f>COUNTIF(AG26:AL26, "H")</f>
        <v>0</v>
      </c>
      <c r="AG26" s="681"/>
      <c r="AH26" s="662"/>
      <c r="AI26" s="662"/>
      <c r="AJ26" s="803"/>
      <c r="AK26" s="1256"/>
      <c r="AL26" s="1257"/>
      <c r="AM26" s="1224">
        <f t="shared" ref="AM26:AM40" si="33">AN26/14</f>
        <v>0.5</v>
      </c>
      <c r="AN26" s="1225">
        <f t="shared" ref="AN26:AN40" si="34">AO26+(AP26*2)</f>
        <v>7</v>
      </c>
      <c r="AO26" s="932">
        <f t="shared" ref="AO26:AO40" si="35">COUNTIF(AQ26:AW26, "M")</f>
        <v>1</v>
      </c>
      <c r="AP26" s="932">
        <f t="shared" ref="AP26:AP40" si="36">COUNTIF(AQ26:AW26, "H")</f>
        <v>3</v>
      </c>
      <c r="AQ26" s="662" t="s">
        <v>562</v>
      </c>
      <c r="AR26" s="662" t="s">
        <v>562</v>
      </c>
      <c r="AS26" s="662"/>
      <c r="AT26" s="662"/>
      <c r="AU26" s="803"/>
      <c r="AV26" s="662" t="s">
        <v>562</v>
      </c>
      <c r="AW26" s="803" t="s">
        <v>587</v>
      </c>
      <c r="AX26" s="1224">
        <f t="shared" ref="AX26:AX40" si="37">AY26/10</f>
        <v>0.5</v>
      </c>
      <c r="AY26" s="1225">
        <f t="shared" ref="AY26:AY40" si="38">AZ26+(BA26*2)</f>
        <v>5</v>
      </c>
      <c r="AZ26" s="932">
        <f>COUNTIF(BB26:BF26, "M")</f>
        <v>3</v>
      </c>
      <c r="BA26" s="932">
        <f>COUNTIF(BB26:BF26, "H")</f>
        <v>1</v>
      </c>
      <c r="BB26" s="649" t="s">
        <v>562</v>
      </c>
      <c r="BC26" s="681"/>
      <c r="BD26" s="649" t="s">
        <v>587</v>
      </c>
      <c r="BE26" s="662" t="s">
        <v>587</v>
      </c>
      <c r="BF26" s="663" t="s">
        <v>587</v>
      </c>
      <c r="BI26" s="1258" t="s">
        <v>1300</v>
      </c>
      <c r="BJ26" s="494" t="s">
        <v>1299</v>
      </c>
      <c r="BK26" s="538"/>
      <c r="BL26" s="406"/>
      <c r="BM26" s="1259"/>
    </row>
    <row r="27" spans="1:65" s="590" customFormat="1" ht="33.75">
      <c r="A27" s="1551"/>
      <c r="B27" s="1519"/>
      <c r="C27" s="422" t="s">
        <v>1298</v>
      </c>
      <c r="D27" s="1207">
        <f t="shared" si="24"/>
        <v>27</v>
      </c>
      <c r="E27" s="1207">
        <f t="shared" si="25"/>
        <v>7</v>
      </c>
      <c r="F27" s="1207">
        <f t="shared" si="26"/>
        <v>20</v>
      </c>
      <c r="G27" s="1253">
        <f t="shared" si="27"/>
        <v>7</v>
      </c>
      <c r="H27" s="1253">
        <f t="shared" si="27"/>
        <v>10</v>
      </c>
      <c r="I27" s="1224">
        <f t="shared" si="28"/>
        <v>0.625</v>
      </c>
      <c r="J27" s="1225">
        <f t="shared" si="29"/>
        <v>5</v>
      </c>
      <c r="K27" s="932">
        <f t="shared" si="30"/>
        <v>1</v>
      </c>
      <c r="L27" s="1254">
        <f t="shared" ref="L27:L40" si="39">COUNTIF(M27:P27, "H")</f>
        <v>2</v>
      </c>
      <c r="M27" s="681" t="s">
        <v>562</v>
      </c>
      <c r="N27" s="681" t="s">
        <v>587</v>
      </c>
      <c r="O27" s="681" t="s">
        <v>562</v>
      </c>
      <c r="P27" s="663"/>
      <c r="Q27" s="1224">
        <f t="shared" si="31"/>
        <v>0.5625</v>
      </c>
      <c r="R27" s="1225">
        <f t="shared" si="32"/>
        <v>9</v>
      </c>
      <c r="S27" s="940">
        <f t="shared" ref="S27:S40" si="40">COUNTIF(U27:AB27, "M")</f>
        <v>1</v>
      </c>
      <c r="T27" s="932">
        <f t="shared" ref="T27:T40" si="41">COUNTIF(U27:AB27, "H")</f>
        <v>4</v>
      </c>
      <c r="U27" s="681"/>
      <c r="V27" s="649" t="s">
        <v>562</v>
      </c>
      <c r="W27" s="681" t="s">
        <v>587</v>
      </c>
      <c r="X27" s="681"/>
      <c r="Y27" s="649"/>
      <c r="Z27" s="681" t="s">
        <v>562</v>
      </c>
      <c r="AA27" s="1255" t="s">
        <v>562</v>
      </c>
      <c r="AB27" s="681" t="s">
        <v>562</v>
      </c>
      <c r="AC27" s="1244"/>
      <c r="AD27" s="1244"/>
      <c r="AE27" s="932">
        <f t="shared" ref="AE27:AE40" si="42">COUNTIF(AG27:AL27, "M")</f>
        <v>0</v>
      </c>
      <c r="AF27" s="932">
        <f t="shared" ref="AF27:AF40" si="43">COUNTIF(AG27:AL27, "H")</f>
        <v>0</v>
      </c>
      <c r="AG27" s="681"/>
      <c r="AH27" s="662"/>
      <c r="AI27" s="662"/>
      <c r="AJ27" s="803"/>
      <c r="AK27" s="1256"/>
      <c r="AL27" s="1257"/>
      <c r="AM27" s="1224">
        <f t="shared" si="33"/>
        <v>0.6428571428571429</v>
      </c>
      <c r="AN27" s="1225">
        <f t="shared" si="34"/>
        <v>9</v>
      </c>
      <c r="AO27" s="932">
        <f t="shared" si="35"/>
        <v>3</v>
      </c>
      <c r="AP27" s="932">
        <f t="shared" si="36"/>
        <v>3</v>
      </c>
      <c r="AQ27" s="662" t="s">
        <v>562</v>
      </c>
      <c r="AR27" s="662" t="s">
        <v>562</v>
      </c>
      <c r="AS27" s="662" t="s">
        <v>587</v>
      </c>
      <c r="AT27" s="662" t="s">
        <v>587</v>
      </c>
      <c r="AU27" s="803"/>
      <c r="AV27" s="662" t="s">
        <v>562</v>
      </c>
      <c r="AW27" s="803" t="s">
        <v>587</v>
      </c>
      <c r="AX27" s="1224">
        <f t="shared" si="37"/>
        <v>0.4</v>
      </c>
      <c r="AY27" s="1225">
        <f t="shared" si="38"/>
        <v>4</v>
      </c>
      <c r="AZ27" s="932">
        <f t="shared" ref="AZ27:AZ40" si="44">COUNTIF(BB27:BF27, "M")</f>
        <v>2</v>
      </c>
      <c r="BA27" s="932">
        <f t="shared" ref="BA27:BA40" si="45">COUNTIF(BB27:BF27, "H")</f>
        <v>1</v>
      </c>
      <c r="BB27" s="649"/>
      <c r="BC27" s="681"/>
      <c r="BD27" s="649" t="s">
        <v>587</v>
      </c>
      <c r="BE27" s="662" t="s">
        <v>587</v>
      </c>
      <c r="BF27" s="663" t="s">
        <v>562</v>
      </c>
      <c r="BI27" s="1258" t="s">
        <v>1297</v>
      </c>
      <c r="BJ27" s="494" t="s">
        <v>1296</v>
      </c>
      <c r="BK27" s="538"/>
      <c r="BL27" s="406"/>
      <c r="BM27" s="1259"/>
    </row>
    <row r="28" spans="1:65" s="590" customFormat="1" ht="33.75">
      <c r="A28" s="1551"/>
      <c r="B28" s="1519"/>
      <c r="C28" s="422" t="s">
        <v>1020</v>
      </c>
      <c r="D28" s="1207">
        <f t="shared" si="24"/>
        <v>27</v>
      </c>
      <c r="E28" s="1207">
        <f t="shared" si="25"/>
        <v>11</v>
      </c>
      <c r="F28" s="1207">
        <f t="shared" si="26"/>
        <v>16</v>
      </c>
      <c r="G28" s="1253">
        <f t="shared" si="27"/>
        <v>11</v>
      </c>
      <c r="H28" s="1253">
        <f t="shared" si="27"/>
        <v>8</v>
      </c>
      <c r="I28" s="1224">
        <f t="shared" si="28"/>
        <v>0.625</v>
      </c>
      <c r="J28" s="1225">
        <f t="shared" si="29"/>
        <v>5</v>
      </c>
      <c r="K28" s="932">
        <f t="shared" si="30"/>
        <v>1</v>
      </c>
      <c r="L28" s="1254">
        <f t="shared" si="39"/>
        <v>2</v>
      </c>
      <c r="M28" s="681" t="s">
        <v>562</v>
      </c>
      <c r="N28" s="681" t="s">
        <v>587</v>
      </c>
      <c r="O28" s="681" t="s">
        <v>562</v>
      </c>
      <c r="P28" s="663"/>
      <c r="Q28" s="1224">
        <f t="shared" si="31"/>
        <v>0.625</v>
      </c>
      <c r="R28" s="1225">
        <f t="shared" si="32"/>
        <v>10</v>
      </c>
      <c r="S28" s="940">
        <f t="shared" si="40"/>
        <v>4</v>
      </c>
      <c r="T28" s="932">
        <f t="shared" si="41"/>
        <v>3</v>
      </c>
      <c r="U28" s="681" t="s">
        <v>562</v>
      </c>
      <c r="V28" s="649" t="s">
        <v>587</v>
      </c>
      <c r="W28" s="681" t="s">
        <v>587</v>
      </c>
      <c r="X28" s="681"/>
      <c r="Y28" s="649" t="s">
        <v>587</v>
      </c>
      <c r="Z28" s="681" t="s">
        <v>562</v>
      </c>
      <c r="AA28" s="1255" t="s">
        <v>562</v>
      </c>
      <c r="AB28" s="681" t="s">
        <v>587</v>
      </c>
      <c r="AC28" s="1244"/>
      <c r="AD28" s="1244"/>
      <c r="AE28" s="932">
        <f t="shared" si="42"/>
        <v>0</v>
      </c>
      <c r="AF28" s="932">
        <f t="shared" si="43"/>
        <v>0</v>
      </c>
      <c r="AG28" s="681"/>
      <c r="AH28" s="662"/>
      <c r="AI28" s="662"/>
      <c r="AJ28" s="803"/>
      <c r="AK28" s="1256"/>
      <c r="AL28" s="1257"/>
      <c r="AM28" s="1224">
        <f t="shared" si="33"/>
        <v>0.6428571428571429</v>
      </c>
      <c r="AN28" s="1225">
        <f t="shared" si="34"/>
        <v>9</v>
      </c>
      <c r="AO28" s="932">
        <f t="shared" si="35"/>
        <v>3</v>
      </c>
      <c r="AP28" s="932">
        <f t="shared" si="36"/>
        <v>3</v>
      </c>
      <c r="AQ28" s="662" t="s">
        <v>562</v>
      </c>
      <c r="AR28" s="662" t="s">
        <v>562</v>
      </c>
      <c r="AS28" s="662" t="s">
        <v>587</v>
      </c>
      <c r="AT28" s="662" t="s">
        <v>587</v>
      </c>
      <c r="AU28" s="803"/>
      <c r="AV28" s="662" t="s">
        <v>562</v>
      </c>
      <c r="AW28" s="803" t="s">
        <v>587</v>
      </c>
      <c r="AX28" s="1224">
        <f t="shared" si="37"/>
        <v>0.3</v>
      </c>
      <c r="AY28" s="1225">
        <f t="shared" si="38"/>
        <v>3</v>
      </c>
      <c r="AZ28" s="932">
        <f t="shared" si="44"/>
        <v>3</v>
      </c>
      <c r="BA28" s="932">
        <f t="shared" si="45"/>
        <v>0</v>
      </c>
      <c r="BB28" s="649"/>
      <c r="BC28" s="681"/>
      <c r="BD28" s="649" t="s">
        <v>587</v>
      </c>
      <c r="BE28" s="662" t="s">
        <v>587</v>
      </c>
      <c r="BF28" s="663" t="s">
        <v>587</v>
      </c>
      <c r="BI28" s="1258" t="s">
        <v>1295</v>
      </c>
      <c r="BJ28" s="494" t="s">
        <v>1399</v>
      </c>
      <c r="BK28" s="538"/>
      <c r="BL28" s="406"/>
      <c r="BM28" s="1259"/>
    </row>
    <row r="29" spans="1:65" s="590" customFormat="1" ht="123.75">
      <c r="A29" s="1551"/>
      <c r="B29" s="1043" t="s">
        <v>1016</v>
      </c>
      <c r="C29" s="422" t="s">
        <v>1294</v>
      </c>
      <c r="D29" s="1207">
        <f t="shared" si="24"/>
        <v>32</v>
      </c>
      <c r="E29" s="1207">
        <f t="shared" si="25"/>
        <v>6</v>
      </c>
      <c r="F29" s="1207">
        <f t="shared" si="26"/>
        <v>26</v>
      </c>
      <c r="G29" s="1253">
        <f t="shared" si="27"/>
        <v>6</v>
      </c>
      <c r="H29" s="1253">
        <f t="shared" si="27"/>
        <v>13</v>
      </c>
      <c r="I29" s="1224">
        <f t="shared" si="28"/>
        <v>0.625</v>
      </c>
      <c r="J29" s="1225">
        <f t="shared" si="29"/>
        <v>5</v>
      </c>
      <c r="K29" s="932">
        <f t="shared" si="30"/>
        <v>1</v>
      </c>
      <c r="L29" s="1254">
        <f t="shared" si="39"/>
        <v>2</v>
      </c>
      <c r="M29" s="681" t="s">
        <v>562</v>
      </c>
      <c r="N29" s="681" t="s">
        <v>587</v>
      </c>
      <c r="O29" s="681" t="s">
        <v>562</v>
      </c>
      <c r="P29" s="663"/>
      <c r="Q29" s="1224">
        <f t="shared" si="31"/>
        <v>0.625</v>
      </c>
      <c r="R29" s="1225">
        <f t="shared" si="32"/>
        <v>10</v>
      </c>
      <c r="S29" s="940">
        <f t="shared" si="40"/>
        <v>2</v>
      </c>
      <c r="T29" s="932">
        <f t="shared" si="41"/>
        <v>4</v>
      </c>
      <c r="U29" s="681" t="s">
        <v>587</v>
      </c>
      <c r="V29" s="649" t="s">
        <v>562</v>
      </c>
      <c r="W29" s="681" t="s">
        <v>562</v>
      </c>
      <c r="X29" s="681"/>
      <c r="Y29" s="649"/>
      <c r="Z29" s="681" t="s">
        <v>562</v>
      </c>
      <c r="AA29" s="1255" t="s">
        <v>562</v>
      </c>
      <c r="AB29" s="681" t="s">
        <v>587</v>
      </c>
      <c r="AC29" s="1244"/>
      <c r="AD29" s="1244"/>
      <c r="AE29" s="932">
        <f t="shared" si="42"/>
        <v>0</v>
      </c>
      <c r="AF29" s="932">
        <f t="shared" si="43"/>
        <v>0</v>
      </c>
      <c r="AG29" s="681"/>
      <c r="AH29" s="662"/>
      <c r="AI29" s="662"/>
      <c r="AJ29" s="803"/>
      <c r="AK29" s="1256"/>
      <c r="AL29" s="1257"/>
      <c r="AM29" s="1224">
        <f t="shared" si="33"/>
        <v>0.7142857142857143</v>
      </c>
      <c r="AN29" s="1225">
        <f t="shared" si="34"/>
        <v>10</v>
      </c>
      <c r="AO29" s="932">
        <f t="shared" si="35"/>
        <v>2</v>
      </c>
      <c r="AP29" s="932">
        <f t="shared" si="36"/>
        <v>4</v>
      </c>
      <c r="AQ29" s="662" t="s">
        <v>562</v>
      </c>
      <c r="AR29" s="662" t="s">
        <v>562</v>
      </c>
      <c r="AS29" s="662" t="s">
        <v>587</v>
      </c>
      <c r="AT29" s="662" t="s">
        <v>587</v>
      </c>
      <c r="AU29" s="803"/>
      <c r="AV29" s="662" t="s">
        <v>562</v>
      </c>
      <c r="AW29" s="803" t="s">
        <v>562</v>
      </c>
      <c r="AX29" s="1224">
        <f t="shared" si="37"/>
        <v>0.7</v>
      </c>
      <c r="AY29" s="1225">
        <f t="shared" si="38"/>
        <v>7</v>
      </c>
      <c r="AZ29" s="932">
        <f t="shared" si="44"/>
        <v>1</v>
      </c>
      <c r="BA29" s="932">
        <f t="shared" si="45"/>
        <v>3</v>
      </c>
      <c r="BB29" s="649" t="s">
        <v>562</v>
      </c>
      <c r="BC29" s="681"/>
      <c r="BD29" s="649" t="s">
        <v>562</v>
      </c>
      <c r="BE29" s="662" t="s">
        <v>587</v>
      </c>
      <c r="BF29" s="663" t="s">
        <v>562</v>
      </c>
      <c r="BI29" s="1260" t="s">
        <v>1293</v>
      </c>
      <c r="BJ29" s="548" t="s">
        <v>1292</v>
      </c>
      <c r="BK29" s="538"/>
      <c r="BL29" s="406"/>
      <c r="BM29" s="1259" t="s">
        <v>1698</v>
      </c>
    </row>
    <row r="30" spans="1:65" s="590" customFormat="1" ht="51">
      <c r="A30" s="1551"/>
      <c r="B30" s="1043" t="s">
        <v>1344</v>
      </c>
      <c r="C30" s="422" t="s">
        <v>1345</v>
      </c>
      <c r="D30" s="1207">
        <f t="shared" si="24"/>
        <v>16</v>
      </c>
      <c r="E30" s="1207">
        <f t="shared" si="25"/>
        <v>2</v>
      </c>
      <c r="F30" s="1207">
        <f t="shared" si="26"/>
        <v>14</v>
      </c>
      <c r="G30" s="1253">
        <f t="shared" si="27"/>
        <v>2</v>
      </c>
      <c r="H30" s="1253">
        <f t="shared" si="27"/>
        <v>7</v>
      </c>
      <c r="I30" s="1224">
        <f t="shared" si="28"/>
        <v>0.5</v>
      </c>
      <c r="J30" s="1225">
        <f t="shared" si="29"/>
        <v>4</v>
      </c>
      <c r="K30" s="932">
        <f t="shared" si="30"/>
        <v>0</v>
      </c>
      <c r="L30" s="1254">
        <f t="shared" si="39"/>
        <v>2</v>
      </c>
      <c r="M30" s="681" t="s">
        <v>562</v>
      </c>
      <c r="N30" s="681"/>
      <c r="O30" s="681" t="s">
        <v>562</v>
      </c>
      <c r="P30" s="663"/>
      <c r="Q30" s="1224">
        <f t="shared" si="31"/>
        <v>0.3125</v>
      </c>
      <c r="R30" s="1225">
        <f t="shared" si="32"/>
        <v>5</v>
      </c>
      <c r="S30" s="940">
        <f t="shared" si="40"/>
        <v>1</v>
      </c>
      <c r="T30" s="932">
        <f t="shared" si="41"/>
        <v>2</v>
      </c>
      <c r="U30" s="681"/>
      <c r="V30" s="649" t="s">
        <v>562</v>
      </c>
      <c r="W30" s="681"/>
      <c r="X30" s="681"/>
      <c r="Y30" s="649"/>
      <c r="Z30" s="681" t="s">
        <v>562</v>
      </c>
      <c r="AA30" s="1255"/>
      <c r="AB30" s="681" t="s">
        <v>587</v>
      </c>
      <c r="AC30" s="1244"/>
      <c r="AD30" s="1244"/>
      <c r="AE30" s="932">
        <f t="shared" si="42"/>
        <v>0</v>
      </c>
      <c r="AF30" s="932">
        <f t="shared" si="43"/>
        <v>0</v>
      </c>
      <c r="AG30" s="681"/>
      <c r="AH30" s="662"/>
      <c r="AI30" s="662"/>
      <c r="AJ30" s="803"/>
      <c r="AK30" s="1256"/>
      <c r="AL30" s="1257"/>
      <c r="AM30" s="1224">
        <f t="shared" si="33"/>
        <v>0.5</v>
      </c>
      <c r="AN30" s="1225">
        <f t="shared" si="34"/>
        <v>7</v>
      </c>
      <c r="AO30" s="932">
        <f t="shared" si="35"/>
        <v>1</v>
      </c>
      <c r="AP30" s="932">
        <f t="shared" si="36"/>
        <v>3</v>
      </c>
      <c r="AQ30" s="662" t="s">
        <v>562</v>
      </c>
      <c r="AR30" s="662" t="s">
        <v>587</v>
      </c>
      <c r="AS30" s="662"/>
      <c r="AT30" s="662"/>
      <c r="AU30" s="803"/>
      <c r="AV30" s="662" t="s">
        <v>562</v>
      </c>
      <c r="AW30" s="803" t="s">
        <v>562</v>
      </c>
      <c r="AX30" s="1224">
        <f t="shared" si="37"/>
        <v>0</v>
      </c>
      <c r="AY30" s="1225">
        <f t="shared" si="38"/>
        <v>0</v>
      </c>
      <c r="AZ30" s="932">
        <f t="shared" si="44"/>
        <v>0</v>
      </c>
      <c r="BA30" s="932">
        <f t="shared" si="45"/>
        <v>0</v>
      </c>
      <c r="BB30" s="649"/>
      <c r="BC30" s="681"/>
      <c r="BD30" s="649"/>
      <c r="BE30" s="662"/>
      <c r="BF30" s="663"/>
      <c r="BI30" s="1258"/>
      <c r="BJ30" s="548" t="s">
        <v>1346</v>
      </c>
      <c r="BK30" s="538"/>
      <c r="BL30" s="406"/>
      <c r="BM30" s="1259"/>
    </row>
    <row r="31" spans="1:65" s="590" customFormat="1" ht="63.75">
      <c r="A31" s="1551"/>
      <c r="B31" s="1043" t="s">
        <v>1078</v>
      </c>
      <c r="C31" s="422" t="s">
        <v>1291</v>
      </c>
      <c r="D31" s="1207">
        <f t="shared" si="24"/>
        <v>31</v>
      </c>
      <c r="E31" s="1207">
        <f t="shared" si="25"/>
        <v>5</v>
      </c>
      <c r="F31" s="1207">
        <f t="shared" si="26"/>
        <v>26</v>
      </c>
      <c r="G31" s="1253">
        <f t="shared" si="27"/>
        <v>5</v>
      </c>
      <c r="H31" s="1253">
        <f t="shared" si="27"/>
        <v>13</v>
      </c>
      <c r="I31" s="1224">
        <f t="shared" si="28"/>
        <v>0.75</v>
      </c>
      <c r="J31" s="1225">
        <f t="shared" si="29"/>
        <v>6</v>
      </c>
      <c r="K31" s="932">
        <f t="shared" si="30"/>
        <v>0</v>
      </c>
      <c r="L31" s="1254">
        <f t="shared" si="39"/>
        <v>3</v>
      </c>
      <c r="M31" s="681" t="s">
        <v>562</v>
      </c>
      <c r="N31" s="681" t="s">
        <v>562</v>
      </c>
      <c r="O31" s="681" t="s">
        <v>562</v>
      </c>
      <c r="P31" s="663"/>
      <c r="Q31" s="1224">
        <f t="shared" si="31"/>
        <v>0.75</v>
      </c>
      <c r="R31" s="1225">
        <f t="shared" si="32"/>
        <v>12</v>
      </c>
      <c r="S31" s="940">
        <f t="shared" si="40"/>
        <v>0</v>
      </c>
      <c r="T31" s="932">
        <f t="shared" si="41"/>
        <v>6</v>
      </c>
      <c r="U31" s="681" t="s">
        <v>562</v>
      </c>
      <c r="V31" s="649"/>
      <c r="W31" s="681" t="s">
        <v>562</v>
      </c>
      <c r="X31" s="681"/>
      <c r="Y31" s="649" t="s">
        <v>562</v>
      </c>
      <c r="Z31" s="681" t="s">
        <v>562</v>
      </c>
      <c r="AA31" s="1255" t="s">
        <v>562</v>
      </c>
      <c r="AB31" s="681" t="s">
        <v>562</v>
      </c>
      <c r="AC31" s="1244"/>
      <c r="AD31" s="1244"/>
      <c r="AE31" s="932">
        <f t="shared" si="42"/>
        <v>0</v>
      </c>
      <c r="AF31" s="932">
        <f t="shared" si="43"/>
        <v>0</v>
      </c>
      <c r="AG31" s="681"/>
      <c r="AH31" s="662"/>
      <c r="AI31" s="662"/>
      <c r="AJ31" s="803"/>
      <c r="AK31" s="1256"/>
      <c r="AL31" s="1257"/>
      <c r="AM31" s="1224">
        <f t="shared" si="33"/>
        <v>0.5</v>
      </c>
      <c r="AN31" s="1225">
        <f t="shared" si="34"/>
        <v>7</v>
      </c>
      <c r="AO31" s="932">
        <f t="shared" si="35"/>
        <v>3</v>
      </c>
      <c r="AP31" s="932">
        <f t="shared" si="36"/>
        <v>2</v>
      </c>
      <c r="AQ31" s="662" t="s">
        <v>562</v>
      </c>
      <c r="AR31" s="662" t="s">
        <v>587</v>
      </c>
      <c r="AS31" s="662" t="s">
        <v>587</v>
      </c>
      <c r="AT31" s="662"/>
      <c r="AU31" s="803"/>
      <c r="AV31" s="662" t="s">
        <v>562</v>
      </c>
      <c r="AW31" s="803" t="s">
        <v>587</v>
      </c>
      <c r="AX31" s="1224">
        <f t="shared" si="37"/>
        <v>0.6</v>
      </c>
      <c r="AY31" s="1225">
        <f t="shared" si="38"/>
        <v>6</v>
      </c>
      <c r="AZ31" s="932">
        <f t="shared" si="44"/>
        <v>2</v>
      </c>
      <c r="BA31" s="932">
        <f t="shared" si="45"/>
        <v>2</v>
      </c>
      <c r="BB31" s="649"/>
      <c r="BC31" s="681" t="s">
        <v>587</v>
      </c>
      <c r="BD31" s="649" t="s">
        <v>587</v>
      </c>
      <c r="BE31" s="662" t="s">
        <v>562</v>
      </c>
      <c r="BF31" s="663" t="s">
        <v>562</v>
      </c>
      <c r="BI31" s="1258" t="s">
        <v>1290</v>
      </c>
      <c r="BJ31" s="494" t="s">
        <v>1289</v>
      </c>
      <c r="BK31" s="538"/>
      <c r="BL31" s="406"/>
      <c r="BM31" s="1259"/>
    </row>
    <row r="32" spans="1:65" s="590" customFormat="1" ht="38.25">
      <c r="A32" s="1551"/>
      <c r="B32" s="1043" t="s">
        <v>1055</v>
      </c>
      <c r="C32" s="422" t="s">
        <v>1288</v>
      </c>
      <c r="D32" s="1207">
        <f t="shared" si="24"/>
        <v>31</v>
      </c>
      <c r="E32" s="1207">
        <f t="shared" si="25"/>
        <v>1</v>
      </c>
      <c r="F32" s="1207">
        <f t="shared" si="26"/>
        <v>30</v>
      </c>
      <c r="G32" s="1253">
        <f t="shared" si="27"/>
        <v>1</v>
      </c>
      <c r="H32" s="1253">
        <f t="shared" si="27"/>
        <v>15</v>
      </c>
      <c r="I32" s="1224">
        <f t="shared" si="28"/>
        <v>0.5</v>
      </c>
      <c r="J32" s="1225">
        <f t="shared" si="29"/>
        <v>4</v>
      </c>
      <c r="K32" s="932">
        <f t="shared" si="30"/>
        <v>0</v>
      </c>
      <c r="L32" s="1254">
        <f t="shared" si="39"/>
        <v>2</v>
      </c>
      <c r="M32" s="681" t="s">
        <v>562</v>
      </c>
      <c r="N32" s="681"/>
      <c r="O32" s="681" t="s">
        <v>562</v>
      </c>
      <c r="P32" s="663"/>
      <c r="Q32" s="1224">
        <f t="shared" si="31"/>
        <v>0.625</v>
      </c>
      <c r="R32" s="1225">
        <f t="shared" si="32"/>
        <v>10</v>
      </c>
      <c r="S32" s="940">
        <f t="shared" si="40"/>
        <v>0</v>
      </c>
      <c r="T32" s="932">
        <f t="shared" si="41"/>
        <v>5</v>
      </c>
      <c r="U32" s="681"/>
      <c r="V32" s="649" t="s">
        <v>562</v>
      </c>
      <c r="W32" s="681" t="s">
        <v>562</v>
      </c>
      <c r="X32" s="681"/>
      <c r="Y32" s="649" t="s">
        <v>562</v>
      </c>
      <c r="Z32" s="681" t="s">
        <v>562</v>
      </c>
      <c r="AA32" s="1255" t="s">
        <v>562</v>
      </c>
      <c r="AB32" s="681"/>
      <c r="AC32" s="1244"/>
      <c r="AD32" s="1244"/>
      <c r="AE32" s="932">
        <f t="shared" si="42"/>
        <v>0</v>
      </c>
      <c r="AF32" s="932">
        <f t="shared" si="43"/>
        <v>0</v>
      </c>
      <c r="AG32" s="681"/>
      <c r="AH32" s="662"/>
      <c r="AI32" s="662"/>
      <c r="AJ32" s="803"/>
      <c r="AK32" s="1256"/>
      <c r="AL32" s="1257"/>
      <c r="AM32" s="1224">
        <f t="shared" si="33"/>
        <v>0.7142857142857143</v>
      </c>
      <c r="AN32" s="1225">
        <f t="shared" si="34"/>
        <v>10</v>
      </c>
      <c r="AO32" s="932">
        <f t="shared" si="35"/>
        <v>0</v>
      </c>
      <c r="AP32" s="932">
        <f t="shared" si="36"/>
        <v>5</v>
      </c>
      <c r="AQ32" s="662" t="s">
        <v>562</v>
      </c>
      <c r="AR32" s="662"/>
      <c r="AS32" s="662"/>
      <c r="AT32" s="662" t="s">
        <v>562</v>
      </c>
      <c r="AU32" s="803" t="s">
        <v>562</v>
      </c>
      <c r="AV32" s="662" t="s">
        <v>562</v>
      </c>
      <c r="AW32" s="803" t="s">
        <v>562</v>
      </c>
      <c r="AX32" s="1224">
        <f t="shared" si="37"/>
        <v>0.7</v>
      </c>
      <c r="AY32" s="1225">
        <f t="shared" si="38"/>
        <v>7</v>
      </c>
      <c r="AZ32" s="932">
        <f t="shared" si="44"/>
        <v>1</v>
      </c>
      <c r="BA32" s="932">
        <f t="shared" si="45"/>
        <v>3</v>
      </c>
      <c r="BB32" s="649" t="s">
        <v>562</v>
      </c>
      <c r="BC32" s="681" t="s">
        <v>1460</v>
      </c>
      <c r="BD32" s="649" t="s">
        <v>562</v>
      </c>
      <c r="BE32" s="662" t="s">
        <v>587</v>
      </c>
      <c r="BF32" s="663" t="s">
        <v>562</v>
      </c>
      <c r="BI32" s="1258" t="s">
        <v>1287</v>
      </c>
      <c r="BJ32" s="494" t="s">
        <v>1286</v>
      </c>
      <c r="BK32" s="538"/>
      <c r="BL32" s="406"/>
      <c r="BM32" s="1259"/>
    </row>
    <row r="33" spans="1:65" s="590" customFormat="1" ht="51">
      <c r="A33" s="1551"/>
      <c r="B33" s="1043" t="s">
        <v>1054</v>
      </c>
      <c r="C33" s="422" t="s">
        <v>1283</v>
      </c>
      <c r="D33" s="1207">
        <f t="shared" si="24"/>
        <v>21</v>
      </c>
      <c r="E33" s="1207">
        <f t="shared" si="25"/>
        <v>11</v>
      </c>
      <c r="F33" s="1207">
        <f t="shared" si="26"/>
        <v>10</v>
      </c>
      <c r="G33" s="1253">
        <f t="shared" si="27"/>
        <v>11</v>
      </c>
      <c r="H33" s="1253">
        <f t="shared" si="27"/>
        <v>5</v>
      </c>
      <c r="I33" s="1224">
        <f t="shared" si="28"/>
        <v>0.25</v>
      </c>
      <c r="J33" s="1225">
        <f t="shared" si="29"/>
        <v>2</v>
      </c>
      <c r="K33" s="932">
        <f t="shared" si="30"/>
        <v>2</v>
      </c>
      <c r="L33" s="1254">
        <f t="shared" si="39"/>
        <v>0</v>
      </c>
      <c r="M33" s="681" t="s">
        <v>587</v>
      </c>
      <c r="N33" s="681"/>
      <c r="O33" s="681" t="s">
        <v>587</v>
      </c>
      <c r="P33" s="663"/>
      <c r="Q33" s="1224">
        <f t="shared" si="31"/>
        <v>0.4375</v>
      </c>
      <c r="R33" s="1225">
        <f t="shared" si="32"/>
        <v>7</v>
      </c>
      <c r="S33" s="940">
        <f t="shared" si="40"/>
        <v>5</v>
      </c>
      <c r="T33" s="932">
        <f t="shared" si="41"/>
        <v>1</v>
      </c>
      <c r="U33" s="681" t="s">
        <v>562</v>
      </c>
      <c r="V33" s="649" t="s">
        <v>587</v>
      </c>
      <c r="W33" s="681" t="s">
        <v>587</v>
      </c>
      <c r="X33" s="681"/>
      <c r="Y33" s="649" t="s">
        <v>587</v>
      </c>
      <c r="Z33" s="681" t="s">
        <v>587</v>
      </c>
      <c r="AA33" s="1255"/>
      <c r="AB33" s="681" t="s">
        <v>587</v>
      </c>
      <c r="AC33" s="1244"/>
      <c r="AD33" s="1244"/>
      <c r="AE33" s="932">
        <f t="shared" si="42"/>
        <v>0</v>
      </c>
      <c r="AF33" s="932">
        <f t="shared" si="43"/>
        <v>0</v>
      </c>
      <c r="AG33" s="681"/>
      <c r="AH33" s="662"/>
      <c r="AI33" s="662"/>
      <c r="AJ33" s="803"/>
      <c r="AK33" s="1256"/>
      <c r="AL33" s="1257"/>
      <c r="AM33" s="1224">
        <f t="shared" si="33"/>
        <v>0.42857142857142855</v>
      </c>
      <c r="AN33" s="1225">
        <f t="shared" si="34"/>
        <v>6</v>
      </c>
      <c r="AO33" s="932">
        <f t="shared" si="35"/>
        <v>2</v>
      </c>
      <c r="AP33" s="932">
        <f t="shared" si="36"/>
        <v>2</v>
      </c>
      <c r="AQ33" s="662" t="s">
        <v>587</v>
      </c>
      <c r="AR33" s="662" t="s">
        <v>587</v>
      </c>
      <c r="AS33" s="662"/>
      <c r="AT33" s="662"/>
      <c r="AU33" s="803"/>
      <c r="AV33" s="662" t="s">
        <v>562</v>
      </c>
      <c r="AW33" s="803" t="s">
        <v>562</v>
      </c>
      <c r="AX33" s="1224">
        <f t="shared" si="37"/>
        <v>0.6</v>
      </c>
      <c r="AY33" s="1225">
        <f t="shared" si="38"/>
        <v>6</v>
      </c>
      <c r="AZ33" s="932">
        <f t="shared" si="44"/>
        <v>2</v>
      </c>
      <c r="BA33" s="932">
        <f t="shared" si="45"/>
        <v>2</v>
      </c>
      <c r="BB33" s="649"/>
      <c r="BC33" s="681" t="s">
        <v>587</v>
      </c>
      <c r="BD33" s="649" t="s">
        <v>562</v>
      </c>
      <c r="BE33" s="662" t="s">
        <v>587</v>
      </c>
      <c r="BF33" s="663" t="s">
        <v>562</v>
      </c>
      <c r="BI33" s="1258" t="s">
        <v>1282</v>
      </c>
      <c r="BJ33" s="494" t="s">
        <v>1285</v>
      </c>
      <c r="BK33" s="538"/>
      <c r="BL33" s="406"/>
      <c r="BM33" s="1259"/>
    </row>
    <row r="34" spans="1:65" s="590" customFormat="1" ht="51">
      <c r="A34" s="1551"/>
      <c r="B34" s="1043" t="s">
        <v>998</v>
      </c>
      <c r="C34" s="422" t="s">
        <v>1283</v>
      </c>
      <c r="D34" s="1207">
        <f t="shared" si="24"/>
        <v>20</v>
      </c>
      <c r="E34" s="1207">
        <f t="shared" si="25"/>
        <v>8</v>
      </c>
      <c r="F34" s="1207">
        <f t="shared" si="26"/>
        <v>12</v>
      </c>
      <c r="G34" s="1253">
        <f t="shared" si="27"/>
        <v>8</v>
      </c>
      <c r="H34" s="1253">
        <f t="shared" si="27"/>
        <v>6</v>
      </c>
      <c r="I34" s="1224">
        <f t="shared" si="28"/>
        <v>0.25</v>
      </c>
      <c r="J34" s="1225">
        <f t="shared" si="29"/>
        <v>2</v>
      </c>
      <c r="K34" s="932">
        <f t="shared" si="30"/>
        <v>2</v>
      </c>
      <c r="L34" s="1254">
        <f t="shared" si="39"/>
        <v>0</v>
      </c>
      <c r="M34" s="681" t="s">
        <v>587</v>
      </c>
      <c r="N34" s="681"/>
      <c r="O34" s="681" t="s">
        <v>587</v>
      </c>
      <c r="P34" s="663"/>
      <c r="Q34" s="1224">
        <f t="shared" si="31"/>
        <v>0.375</v>
      </c>
      <c r="R34" s="1225">
        <f t="shared" si="32"/>
        <v>6</v>
      </c>
      <c r="S34" s="940">
        <f t="shared" si="40"/>
        <v>4</v>
      </c>
      <c r="T34" s="932">
        <f t="shared" si="41"/>
        <v>1</v>
      </c>
      <c r="U34" s="681" t="s">
        <v>562</v>
      </c>
      <c r="V34" s="649" t="s">
        <v>587</v>
      </c>
      <c r="W34" s="681"/>
      <c r="X34" s="681"/>
      <c r="Y34" s="649" t="s">
        <v>587</v>
      </c>
      <c r="Z34" s="681" t="s">
        <v>587</v>
      </c>
      <c r="AA34" s="1255"/>
      <c r="AB34" s="681" t="s">
        <v>587</v>
      </c>
      <c r="AC34" s="1244"/>
      <c r="AD34" s="1244"/>
      <c r="AE34" s="932">
        <f t="shared" si="42"/>
        <v>0</v>
      </c>
      <c r="AF34" s="932">
        <f t="shared" si="43"/>
        <v>0</v>
      </c>
      <c r="AG34" s="681"/>
      <c r="AH34" s="662"/>
      <c r="AI34" s="662"/>
      <c r="AJ34" s="803"/>
      <c r="AK34" s="1256"/>
      <c r="AL34" s="1257"/>
      <c r="AM34" s="1224">
        <f t="shared" si="33"/>
        <v>0.35714285714285715</v>
      </c>
      <c r="AN34" s="1225">
        <f t="shared" si="34"/>
        <v>5</v>
      </c>
      <c r="AO34" s="932">
        <f t="shared" si="35"/>
        <v>1</v>
      </c>
      <c r="AP34" s="932">
        <f t="shared" si="36"/>
        <v>2</v>
      </c>
      <c r="AQ34" s="662" t="s">
        <v>587</v>
      </c>
      <c r="AR34" s="662"/>
      <c r="AS34" s="662"/>
      <c r="AT34" s="662"/>
      <c r="AU34" s="803"/>
      <c r="AV34" s="662" t="s">
        <v>562</v>
      </c>
      <c r="AW34" s="803" t="s">
        <v>562</v>
      </c>
      <c r="AX34" s="1224">
        <f t="shared" si="37"/>
        <v>0.7</v>
      </c>
      <c r="AY34" s="1225">
        <f t="shared" si="38"/>
        <v>7</v>
      </c>
      <c r="AZ34" s="932">
        <f t="shared" si="44"/>
        <v>1</v>
      </c>
      <c r="BA34" s="932">
        <f t="shared" si="45"/>
        <v>3</v>
      </c>
      <c r="BB34" s="649"/>
      <c r="BC34" s="681" t="s">
        <v>562</v>
      </c>
      <c r="BD34" s="649" t="s">
        <v>562</v>
      </c>
      <c r="BE34" s="662" t="s">
        <v>587</v>
      </c>
      <c r="BF34" s="663" t="s">
        <v>562</v>
      </c>
      <c r="BI34" s="1258" t="s">
        <v>1282</v>
      </c>
      <c r="BJ34" s="494" t="s">
        <v>1284</v>
      </c>
      <c r="BK34" s="538"/>
      <c r="BL34" s="406"/>
      <c r="BM34" s="1259"/>
    </row>
    <row r="35" spans="1:65" s="590" customFormat="1" ht="25.5">
      <c r="A35" s="1551"/>
      <c r="B35" s="1043" t="s">
        <v>1076</v>
      </c>
      <c r="C35" s="422" t="s">
        <v>1283</v>
      </c>
      <c r="D35" s="1207">
        <f t="shared" si="24"/>
        <v>14</v>
      </c>
      <c r="E35" s="1207">
        <f t="shared" si="25"/>
        <v>12</v>
      </c>
      <c r="F35" s="1207">
        <f t="shared" si="26"/>
        <v>2</v>
      </c>
      <c r="G35" s="1253">
        <f t="shared" si="27"/>
        <v>12</v>
      </c>
      <c r="H35" s="1253">
        <f t="shared" si="27"/>
        <v>1</v>
      </c>
      <c r="I35" s="1224">
        <f t="shared" si="28"/>
        <v>0.125</v>
      </c>
      <c r="J35" s="1225">
        <f t="shared" si="29"/>
        <v>1</v>
      </c>
      <c r="K35" s="932">
        <f t="shared" si="30"/>
        <v>1</v>
      </c>
      <c r="L35" s="1254">
        <f t="shared" si="39"/>
        <v>0</v>
      </c>
      <c r="M35" s="681"/>
      <c r="N35" s="681"/>
      <c r="O35" s="681" t="s">
        <v>587</v>
      </c>
      <c r="P35" s="663"/>
      <c r="Q35" s="1224">
        <f t="shared" si="31"/>
        <v>0.375</v>
      </c>
      <c r="R35" s="1225">
        <f t="shared" si="32"/>
        <v>6</v>
      </c>
      <c r="S35" s="940">
        <f t="shared" si="40"/>
        <v>4</v>
      </c>
      <c r="T35" s="932">
        <f t="shared" si="41"/>
        <v>1</v>
      </c>
      <c r="U35" s="681" t="s">
        <v>562</v>
      </c>
      <c r="V35" s="649"/>
      <c r="W35" s="681" t="s">
        <v>587</v>
      </c>
      <c r="X35" s="681"/>
      <c r="Y35" s="649" t="s">
        <v>587</v>
      </c>
      <c r="Z35" s="681" t="s">
        <v>587</v>
      </c>
      <c r="AA35" s="1255"/>
      <c r="AB35" s="681" t="s">
        <v>587</v>
      </c>
      <c r="AC35" s="1244"/>
      <c r="AD35" s="1244"/>
      <c r="AE35" s="932">
        <f t="shared" si="42"/>
        <v>0</v>
      </c>
      <c r="AF35" s="932">
        <f t="shared" si="43"/>
        <v>0</v>
      </c>
      <c r="AG35" s="681"/>
      <c r="AH35" s="662"/>
      <c r="AI35" s="662"/>
      <c r="AJ35" s="803"/>
      <c r="AK35" s="1256"/>
      <c r="AL35" s="1257"/>
      <c r="AM35" s="1224">
        <f t="shared" si="33"/>
        <v>0.21428571428571427</v>
      </c>
      <c r="AN35" s="1225">
        <f t="shared" si="34"/>
        <v>3</v>
      </c>
      <c r="AO35" s="932">
        <f t="shared" si="35"/>
        <v>3</v>
      </c>
      <c r="AP35" s="932">
        <f t="shared" si="36"/>
        <v>0</v>
      </c>
      <c r="AQ35" s="662" t="s">
        <v>587</v>
      </c>
      <c r="AR35" s="662"/>
      <c r="AS35" s="662" t="s">
        <v>587</v>
      </c>
      <c r="AT35" s="662"/>
      <c r="AU35" s="803"/>
      <c r="AV35" s="662" t="s">
        <v>587</v>
      </c>
      <c r="AW35" s="803"/>
      <c r="AX35" s="1224">
        <f t="shared" si="37"/>
        <v>0.4</v>
      </c>
      <c r="AY35" s="1225">
        <f t="shared" si="38"/>
        <v>4</v>
      </c>
      <c r="AZ35" s="932">
        <f t="shared" si="44"/>
        <v>4</v>
      </c>
      <c r="BA35" s="932">
        <f t="shared" si="45"/>
        <v>0</v>
      </c>
      <c r="BB35" s="649"/>
      <c r="BC35" s="681" t="s">
        <v>587</v>
      </c>
      <c r="BD35" s="649" t="s">
        <v>587</v>
      </c>
      <c r="BE35" s="662" t="s">
        <v>587</v>
      </c>
      <c r="BF35" s="663" t="s">
        <v>587</v>
      </c>
      <c r="BI35" s="1258" t="s">
        <v>1282</v>
      </c>
      <c r="BJ35" s="494" t="s">
        <v>1281</v>
      </c>
      <c r="BK35" s="538"/>
      <c r="BL35" s="406"/>
      <c r="BM35" s="1259"/>
    </row>
    <row r="36" spans="1:65" s="590" customFormat="1" ht="51">
      <c r="A36" s="1551"/>
      <c r="B36" s="1043" t="s">
        <v>965</v>
      </c>
      <c r="C36" s="422" t="s">
        <v>1280</v>
      </c>
      <c r="D36" s="1207">
        <f t="shared" si="24"/>
        <v>15</v>
      </c>
      <c r="E36" s="1207">
        <f t="shared" si="25"/>
        <v>9</v>
      </c>
      <c r="F36" s="1207">
        <f t="shared" si="26"/>
        <v>6</v>
      </c>
      <c r="G36" s="1253">
        <f t="shared" si="27"/>
        <v>9</v>
      </c>
      <c r="H36" s="1253">
        <f t="shared" si="27"/>
        <v>3</v>
      </c>
      <c r="I36" s="1224">
        <f t="shared" si="28"/>
        <v>0.375</v>
      </c>
      <c r="J36" s="1225">
        <f t="shared" si="29"/>
        <v>3</v>
      </c>
      <c r="K36" s="932">
        <f t="shared" si="30"/>
        <v>1</v>
      </c>
      <c r="L36" s="1254">
        <f t="shared" si="39"/>
        <v>1</v>
      </c>
      <c r="M36" s="681" t="s">
        <v>587</v>
      </c>
      <c r="N36" s="681"/>
      <c r="O36" s="681" t="s">
        <v>562</v>
      </c>
      <c r="P36" s="663"/>
      <c r="Q36" s="1224">
        <f t="shared" si="31"/>
        <v>0.4375</v>
      </c>
      <c r="R36" s="1225">
        <f t="shared" si="32"/>
        <v>7</v>
      </c>
      <c r="S36" s="940">
        <f t="shared" si="40"/>
        <v>3</v>
      </c>
      <c r="T36" s="932">
        <f t="shared" si="41"/>
        <v>2</v>
      </c>
      <c r="U36" s="681" t="s">
        <v>587</v>
      </c>
      <c r="V36" s="649"/>
      <c r="W36" s="681" t="s">
        <v>562</v>
      </c>
      <c r="X36" s="681"/>
      <c r="Y36" s="649" t="s">
        <v>562</v>
      </c>
      <c r="Z36" s="681" t="s">
        <v>587</v>
      </c>
      <c r="AA36" s="1255"/>
      <c r="AB36" s="681" t="s">
        <v>587</v>
      </c>
      <c r="AC36" s="1244"/>
      <c r="AD36" s="1244"/>
      <c r="AE36" s="932">
        <f t="shared" si="42"/>
        <v>0</v>
      </c>
      <c r="AF36" s="932">
        <f t="shared" si="43"/>
        <v>0</v>
      </c>
      <c r="AG36" s="681"/>
      <c r="AH36" s="662"/>
      <c r="AI36" s="662"/>
      <c r="AJ36" s="803"/>
      <c r="AK36" s="1256"/>
      <c r="AL36" s="1257"/>
      <c r="AM36" s="1224">
        <f t="shared" si="33"/>
        <v>0.14285714285714285</v>
      </c>
      <c r="AN36" s="1225">
        <f t="shared" si="34"/>
        <v>2</v>
      </c>
      <c r="AO36" s="932">
        <f t="shared" si="35"/>
        <v>2</v>
      </c>
      <c r="AP36" s="932">
        <f t="shared" si="36"/>
        <v>0</v>
      </c>
      <c r="AQ36" s="662" t="s">
        <v>587</v>
      </c>
      <c r="AR36" s="662"/>
      <c r="AS36" s="662"/>
      <c r="AT36" s="662"/>
      <c r="AU36" s="803"/>
      <c r="AV36" s="662" t="s">
        <v>587</v>
      </c>
      <c r="AW36" s="803"/>
      <c r="AX36" s="1224">
        <f t="shared" si="37"/>
        <v>0.3</v>
      </c>
      <c r="AY36" s="1225">
        <f t="shared" si="38"/>
        <v>3</v>
      </c>
      <c r="AZ36" s="932">
        <f t="shared" si="44"/>
        <v>3</v>
      </c>
      <c r="BA36" s="932">
        <f t="shared" si="45"/>
        <v>0</v>
      </c>
      <c r="BB36" s="649"/>
      <c r="BC36" s="681" t="s">
        <v>587</v>
      </c>
      <c r="BD36" s="649"/>
      <c r="BE36" s="662" t="s">
        <v>587</v>
      </c>
      <c r="BF36" s="663" t="s">
        <v>587</v>
      </c>
      <c r="BI36" s="1258" t="s">
        <v>1400</v>
      </c>
      <c r="BJ36" s="494" t="s">
        <v>1401</v>
      </c>
      <c r="BK36" s="538"/>
      <c r="BL36" s="406"/>
      <c r="BM36" s="1259"/>
    </row>
    <row r="37" spans="1:65" s="590" customFormat="1" ht="25.5">
      <c r="A37" s="1551"/>
      <c r="B37" s="1043" t="s">
        <v>999</v>
      </c>
      <c r="C37" s="422" t="s">
        <v>1279</v>
      </c>
      <c r="D37" s="1207">
        <f t="shared" si="24"/>
        <v>34</v>
      </c>
      <c r="E37" s="1207">
        <f t="shared" si="25"/>
        <v>4</v>
      </c>
      <c r="F37" s="1207">
        <f t="shared" si="26"/>
        <v>30</v>
      </c>
      <c r="G37" s="1253">
        <f t="shared" si="27"/>
        <v>4</v>
      </c>
      <c r="H37" s="1253">
        <f t="shared" si="27"/>
        <v>15</v>
      </c>
      <c r="I37" s="1224">
        <f t="shared" si="28"/>
        <v>0.5</v>
      </c>
      <c r="J37" s="1225">
        <f t="shared" si="29"/>
        <v>4</v>
      </c>
      <c r="K37" s="932">
        <f t="shared" si="30"/>
        <v>0</v>
      </c>
      <c r="L37" s="1254">
        <f t="shared" si="39"/>
        <v>2</v>
      </c>
      <c r="M37" s="681" t="s">
        <v>562</v>
      </c>
      <c r="N37" s="681"/>
      <c r="O37" s="681" t="s">
        <v>562</v>
      </c>
      <c r="P37" s="663"/>
      <c r="Q37" s="1224">
        <f t="shared" si="31"/>
        <v>0.8125</v>
      </c>
      <c r="R37" s="1225">
        <f t="shared" si="32"/>
        <v>13</v>
      </c>
      <c r="S37" s="940">
        <f t="shared" si="40"/>
        <v>1</v>
      </c>
      <c r="T37" s="932">
        <f t="shared" si="41"/>
        <v>6</v>
      </c>
      <c r="U37" s="681" t="s">
        <v>587</v>
      </c>
      <c r="V37" s="649" t="s">
        <v>562</v>
      </c>
      <c r="W37" s="681" t="s">
        <v>562</v>
      </c>
      <c r="X37" s="681"/>
      <c r="Y37" s="649" t="s">
        <v>562</v>
      </c>
      <c r="Z37" s="681" t="s">
        <v>562</v>
      </c>
      <c r="AA37" s="1255" t="s">
        <v>562</v>
      </c>
      <c r="AB37" s="681" t="s">
        <v>562</v>
      </c>
      <c r="AC37" s="1244"/>
      <c r="AD37" s="1244"/>
      <c r="AE37" s="932">
        <f t="shared" si="42"/>
        <v>0</v>
      </c>
      <c r="AF37" s="932">
        <f t="shared" si="43"/>
        <v>0</v>
      </c>
      <c r="AG37" s="681"/>
      <c r="AH37" s="662"/>
      <c r="AI37" s="662"/>
      <c r="AJ37" s="803"/>
      <c r="AK37" s="1256"/>
      <c r="AL37" s="1257"/>
      <c r="AM37" s="1224">
        <f t="shared" si="33"/>
        <v>0.6428571428571429</v>
      </c>
      <c r="AN37" s="1225">
        <f t="shared" si="34"/>
        <v>9</v>
      </c>
      <c r="AO37" s="932">
        <f t="shared" si="35"/>
        <v>3</v>
      </c>
      <c r="AP37" s="932">
        <f t="shared" si="36"/>
        <v>3</v>
      </c>
      <c r="AQ37" s="662" t="s">
        <v>562</v>
      </c>
      <c r="AR37" s="662"/>
      <c r="AS37" s="662" t="s">
        <v>587</v>
      </c>
      <c r="AT37" s="662" t="s">
        <v>587</v>
      </c>
      <c r="AU37" s="803" t="s">
        <v>587</v>
      </c>
      <c r="AV37" s="662" t="s">
        <v>562</v>
      </c>
      <c r="AW37" s="803" t="s">
        <v>562</v>
      </c>
      <c r="AX37" s="1224">
        <f t="shared" si="37"/>
        <v>0.8</v>
      </c>
      <c r="AY37" s="1225">
        <f t="shared" si="38"/>
        <v>8</v>
      </c>
      <c r="AZ37" s="932">
        <f t="shared" si="44"/>
        <v>0</v>
      </c>
      <c r="BA37" s="932">
        <f t="shared" si="45"/>
        <v>4</v>
      </c>
      <c r="BB37" s="649"/>
      <c r="BC37" s="681" t="s">
        <v>562</v>
      </c>
      <c r="BD37" s="649" t="s">
        <v>562</v>
      </c>
      <c r="BE37" s="662" t="s">
        <v>562</v>
      </c>
      <c r="BF37" s="663" t="s">
        <v>562</v>
      </c>
      <c r="BI37" s="1258" t="s">
        <v>1278</v>
      </c>
      <c r="BJ37" s="494" t="s">
        <v>1402</v>
      </c>
      <c r="BK37" s="538"/>
      <c r="BL37" s="406"/>
      <c r="BM37" s="1259"/>
    </row>
    <row r="38" spans="1:65" s="590" customFormat="1" ht="25.5">
      <c r="A38" s="1551"/>
      <c r="B38" s="1520" t="s">
        <v>1075</v>
      </c>
      <c r="C38" s="422" t="s">
        <v>1277</v>
      </c>
      <c r="D38" s="1207">
        <f t="shared" si="24"/>
        <v>20</v>
      </c>
      <c r="E38" s="1207">
        <f t="shared" si="25"/>
        <v>10</v>
      </c>
      <c r="F38" s="1207">
        <f t="shared" si="26"/>
        <v>10</v>
      </c>
      <c r="G38" s="1253">
        <f t="shared" si="27"/>
        <v>10</v>
      </c>
      <c r="H38" s="1253">
        <f t="shared" si="27"/>
        <v>5</v>
      </c>
      <c r="I38" s="1224">
        <f t="shared" si="28"/>
        <v>0.375</v>
      </c>
      <c r="J38" s="1225">
        <f t="shared" si="29"/>
        <v>3</v>
      </c>
      <c r="K38" s="932">
        <f t="shared" si="30"/>
        <v>1</v>
      </c>
      <c r="L38" s="1254">
        <f t="shared" si="39"/>
        <v>1</v>
      </c>
      <c r="M38" s="681" t="s">
        <v>587</v>
      </c>
      <c r="N38" s="681"/>
      <c r="O38" s="681" t="s">
        <v>562</v>
      </c>
      <c r="P38" s="663"/>
      <c r="Q38" s="1224">
        <f t="shared" si="31"/>
        <v>0.5</v>
      </c>
      <c r="R38" s="1225">
        <f t="shared" si="32"/>
        <v>8</v>
      </c>
      <c r="S38" s="940">
        <f t="shared" si="40"/>
        <v>6</v>
      </c>
      <c r="T38" s="932">
        <f t="shared" si="41"/>
        <v>1</v>
      </c>
      <c r="U38" s="681" t="s">
        <v>587</v>
      </c>
      <c r="V38" s="649" t="s">
        <v>587</v>
      </c>
      <c r="W38" s="681" t="s">
        <v>587</v>
      </c>
      <c r="X38" s="681"/>
      <c r="Y38" s="649" t="s">
        <v>587</v>
      </c>
      <c r="Z38" s="681" t="s">
        <v>587</v>
      </c>
      <c r="AA38" s="1255" t="s">
        <v>562</v>
      </c>
      <c r="AB38" s="681" t="s">
        <v>587</v>
      </c>
      <c r="AC38" s="1244"/>
      <c r="AD38" s="1244"/>
      <c r="AE38" s="932">
        <f t="shared" si="42"/>
        <v>0</v>
      </c>
      <c r="AF38" s="932">
        <f t="shared" si="43"/>
        <v>0</v>
      </c>
      <c r="AG38" s="681"/>
      <c r="AH38" s="662"/>
      <c r="AI38" s="662"/>
      <c r="AJ38" s="803"/>
      <c r="AK38" s="1256"/>
      <c r="AL38" s="1257"/>
      <c r="AM38" s="1224">
        <f t="shared" si="33"/>
        <v>0.2857142857142857</v>
      </c>
      <c r="AN38" s="1225">
        <f t="shared" si="34"/>
        <v>4</v>
      </c>
      <c r="AO38" s="932">
        <f t="shared" si="35"/>
        <v>2</v>
      </c>
      <c r="AP38" s="932">
        <f t="shared" si="36"/>
        <v>1</v>
      </c>
      <c r="AQ38" s="662" t="s">
        <v>587</v>
      </c>
      <c r="AR38" s="662"/>
      <c r="AS38" s="662"/>
      <c r="AT38" s="662"/>
      <c r="AU38" s="803"/>
      <c r="AV38" s="662" t="s">
        <v>562</v>
      </c>
      <c r="AW38" s="803" t="s">
        <v>587</v>
      </c>
      <c r="AX38" s="1224">
        <f t="shared" si="37"/>
        <v>0.5</v>
      </c>
      <c r="AY38" s="1225">
        <f t="shared" si="38"/>
        <v>5</v>
      </c>
      <c r="AZ38" s="932">
        <f t="shared" si="44"/>
        <v>1</v>
      </c>
      <c r="BA38" s="932">
        <f t="shared" si="45"/>
        <v>2</v>
      </c>
      <c r="BB38" s="649"/>
      <c r="BC38" s="681"/>
      <c r="BD38" s="649" t="s">
        <v>587</v>
      </c>
      <c r="BE38" s="662" t="s">
        <v>562</v>
      </c>
      <c r="BF38" s="663" t="s">
        <v>562</v>
      </c>
      <c r="BI38" s="1258" t="s">
        <v>1276</v>
      </c>
      <c r="BJ38" s="494"/>
      <c r="BK38" s="538"/>
      <c r="BL38" s="406"/>
      <c r="BM38" s="1486" t="s">
        <v>1450</v>
      </c>
    </row>
    <row r="39" spans="1:65" s="590" customFormat="1" ht="38.25">
      <c r="A39" s="1551"/>
      <c r="B39" s="1552"/>
      <c r="C39" s="422" t="s">
        <v>1275</v>
      </c>
      <c r="D39" s="1207">
        <f t="shared" si="24"/>
        <v>17</v>
      </c>
      <c r="E39" s="1207">
        <f t="shared" si="25"/>
        <v>3</v>
      </c>
      <c r="F39" s="1207">
        <f t="shared" si="26"/>
        <v>14</v>
      </c>
      <c r="G39" s="1253">
        <f t="shared" si="27"/>
        <v>3</v>
      </c>
      <c r="H39" s="1253">
        <f t="shared" si="27"/>
        <v>7</v>
      </c>
      <c r="I39" s="1224">
        <f t="shared" si="28"/>
        <v>0.375</v>
      </c>
      <c r="J39" s="1225">
        <f t="shared" si="29"/>
        <v>3</v>
      </c>
      <c r="K39" s="932">
        <f t="shared" si="30"/>
        <v>1</v>
      </c>
      <c r="L39" s="1254">
        <f t="shared" si="39"/>
        <v>1</v>
      </c>
      <c r="M39" s="681" t="s">
        <v>587</v>
      </c>
      <c r="N39" s="681"/>
      <c r="O39" s="681" t="s">
        <v>562</v>
      </c>
      <c r="P39" s="663"/>
      <c r="Q39" s="1224">
        <f t="shared" si="31"/>
        <v>0.1875</v>
      </c>
      <c r="R39" s="1225">
        <f t="shared" si="32"/>
        <v>3</v>
      </c>
      <c r="S39" s="940">
        <f t="shared" si="40"/>
        <v>1</v>
      </c>
      <c r="T39" s="932">
        <f t="shared" si="41"/>
        <v>1</v>
      </c>
      <c r="U39" s="681"/>
      <c r="V39" s="649" t="s">
        <v>562</v>
      </c>
      <c r="W39" s="681"/>
      <c r="X39" s="681"/>
      <c r="Y39" s="649"/>
      <c r="Z39" s="681"/>
      <c r="AA39" s="1255"/>
      <c r="AB39" s="681" t="s">
        <v>587</v>
      </c>
      <c r="AC39" s="1244"/>
      <c r="AD39" s="1244"/>
      <c r="AE39" s="932">
        <f t="shared" si="42"/>
        <v>0</v>
      </c>
      <c r="AF39" s="932">
        <f t="shared" si="43"/>
        <v>0</v>
      </c>
      <c r="AG39" s="681"/>
      <c r="AH39" s="662"/>
      <c r="AI39" s="662"/>
      <c r="AJ39" s="803"/>
      <c r="AK39" s="1256"/>
      <c r="AL39" s="1257"/>
      <c r="AM39" s="1224">
        <f t="shared" si="33"/>
        <v>0.35714285714285715</v>
      </c>
      <c r="AN39" s="1225">
        <f t="shared" si="34"/>
        <v>5</v>
      </c>
      <c r="AO39" s="932">
        <f t="shared" si="35"/>
        <v>1</v>
      </c>
      <c r="AP39" s="932">
        <f t="shared" si="36"/>
        <v>2</v>
      </c>
      <c r="AQ39" s="662" t="s">
        <v>587</v>
      </c>
      <c r="AR39" s="662"/>
      <c r="AS39" s="662"/>
      <c r="AT39" s="662"/>
      <c r="AU39" s="803"/>
      <c r="AV39" s="662" t="s">
        <v>562</v>
      </c>
      <c r="AW39" s="803" t="s">
        <v>562</v>
      </c>
      <c r="AX39" s="1224">
        <f t="shared" si="37"/>
        <v>0.6</v>
      </c>
      <c r="AY39" s="1225">
        <f t="shared" si="38"/>
        <v>6</v>
      </c>
      <c r="AZ39" s="932">
        <f t="shared" si="44"/>
        <v>0</v>
      </c>
      <c r="BA39" s="932">
        <f t="shared" si="45"/>
        <v>3</v>
      </c>
      <c r="BB39" s="649"/>
      <c r="BC39" s="681" t="s">
        <v>562</v>
      </c>
      <c r="BD39" s="649"/>
      <c r="BE39" s="662" t="s">
        <v>562</v>
      </c>
      <c r="BF39" s="663" t="s">
        <v>562</v>
      </c>
      <c r="BI39" s="1258" t="s">
        <v>1274</v>
      </c>
      <c r="BJ39" s="494" t="s">
        <v>1273</v>
      </c>
      <c r="BK39" s="538"/>
      <c r="BL39" s="406"/>
      <c r="BM39" s="1488"/>
    </row>
    <row r="40" spans="1:65" s="590" customFormat="1" ht="90">
      <c r="A40" s="1551"/>
      <c r="B40" s="1043" t="s">
        <v>1053</v>
      </c>
      <c r="C40" s="422" t="s">
        <v>1272</v>
      </c>
      <c r="D40" s="1207">
        <f t="shared" si="24"/>
        <v>24</v>
      </c>
      <c r="E40" s="1207">
        <f t="shared" si="25"/>
        <v>6</v>
      </c>
      <c r="F40" s="1207">
        <f t="shared" si="26"/>
        <v>18</v>
      </c>
      <c r="G40" s="1253">
        <f t="shared" si="27"/>
        <v>6</v>
      </c>
      <c r="H40" s="1253">
        <f t="shared" si="27"/>
        <v>9</v>
      </c>
      <c r="I40" s="1224">
        <f t="shared" si="28"/>
        <v>0.125</v>
      </c>
      <c r="J40" s="1225">
        <f t="shared" si="29"/>
        <v>1</v>
      </c>
      <c r="K40" s="932">
        <f t="shared" si="30"/>
        <v>1</v>
      </c>
      <c r="L40" s="1254">
        <f t="shared" si="39"/>
        <v>0</v>
      </c>
      <c r="M40" s="681"/>
      <c r="N40" s="681"/>
      <c r="O40" s="681" t="s">
        <v>587</v>
      </c>
      <c r="P40" s="663"/>
      <c r="Q40" s="1224">
        <f t="shared" si="31"/>
        <v>0.5625</v>
      </c>
      <c r="R40" s="1225">
        <f t="shared" si="32"/>
        <v>9</v>
      </c>
      <c r="S40" s="940">
        <f t="shared" si="40"/>
        <v>1</v>
      </c>
      <c r="T40" s="932">
        <f t="shared" si="41"/>
        <v>4</v>
      </c>
      <c r="U40" s="681"/>
      <c r="V40" s="649" t="s">
        <v>562</v>
      </c>
      <c r="W40" s="681" t="s">
        <v>562</v>
      </c>
      <c r="X40" s="681"/>
      <c r="Y40" s="649" t="s">
        <v>562</v>
      </c>
      <c r="Z40" s="681" t="s">
        <v>562</v>
      </c>
      <c r="AA40" s="1255"/>
      <c r="AB40" s="681" t="s">
        <v>587</v>
      </c>
      <c r="AC40" s="1244"/>
      <c r="AD40" s="1244"/>
      <c r="AE40" s="932">
        <f t="shared" si="42"/>
        <v>0</v>
      </c>
      <c r="AF40" s="932">
        <f t="shared" si="43"/>
        <v>0</v>
      </c>
      <c r="AG40" s="681"/>
      <c r="AH40" s="662"/>
      <c r="AI40" s="662"/>
      <c r="AJ40" s="803"/>
      <c r="AK40" s="1256"/>
      <c r="AL40" s="1257"/>
      <c r="AM40" s="1224">
        <f t="shared" si="33"/>
        <v>0.5</v>
      </c>
      <c r="AN40" s="1225">
        <f t="shared" si="34"/>
        <v>7</v>
      </c>
      <c r="AO40" s="932">
        <f t="shared" si="35"/>
        <v>3</v>
      </c>
      <c r="AP40" s="932">
        <f t="shared" si="36"/>
        <v>2</v>
      </c>
      <c r="AQ40" s="662" t="s">
        <v>587</v>
      </c>
      <c r="AR40" s="662"/>
      <c r="AS40" s="662" t="s">
        <v>587</v>
      </c>
      <c r="AT40" s="662" t="s">
        <v>587</v>
      </c>
      <c r="AU40" s="803"/>
      <c r="AV40" s="662" t="s">
        <v>562</v>
      </c>
      <c r="AW40" s="803" t="s">
        <v>562</v>
      </c>
      <c r="AX40" s="1224">
        <f t="shared" si="37"/>
        <v>0.7</v>
      </c>
      <c r="AY40" s="1225">
        <f t="shared" si="38"/>
        <v>7</v>
      </c>
      <c r="AZ40" s="932">
        <f t="shared" si="44"/>
        <v>1</v>
      </c>
      <c r="BA40" s="932">
        <f t="shared" si="45"/>
        <v>3</v>
      </c>
      <c r="BB40" s="649"/>
      <c r="BC40" s="681" t="s">
        <v>562</v>
      </c>
      <c r="BD40" s="649" t="s">
        <v>562</v>
      </c>
      <c r="BE40" s="662" t="s">
        <v>587</v>
      </c>
      <c r="BF40" s="663" t="s">
        <v>562</v>
      </c>
      <c r="BI40" s="1258" t="s">
        <v>1271</v>
      </c>
      <c r="BJ40" s="494" t="s">
        <v>1270</v>
      </c>
      <c r="BK40" s="538"/>
      <c r="BL40" s="406"/>
      <c r="BM40" s="1259"/>
    </row>
    <row r="41" spans="1:65" s="590" customFormat="1" ht="12.75">
      <c r="A41" s="932" t="s">
        <v>1589</v>
      </c>
      <c r="B41" s="942"/>
      <c r="C41" s="422"/>
      <c r="D41" s="571"/>
      <c r="E41" s="571"/>
      <c r="F41" s="571"/>
      <c r="G41" s="1253"/>
      <c r="H41" s="1253"/>
      <c r="I41" s="1251"/>
      <c r="J41" s="1251"/>
      <c r="K41" s="1261"/>
      <c r="L41" s="1261"/>
      <c r="M41" s="681">
        <f>COUNTIF(M26:M40, "M")</f>
        <v>5</v>
      </c>
      <c r="N41" s="681">
        <f t="shared" ref="N41:BF41" si="46">COUNTIF(N26:N40, "M")</f>
        <v>4</v>
      </c>
      <c r="O41" s="681">
        <f t="shared" si="46"/>
        <v>4</v>
      </c>
      <c r="P41" s="663">
        <f t="shared" si="46"/>
        <v>0</v>
      </c>
      <c r="Q41" s="1252"/>
      <c r="R41" s="286"/>
      <c r="S41" s="649"/>
      <c r="T41" s="681"/>
      <c r="U41" s="681">
        <f t="shared" si="46"/>
        <v>4</v>
      </c>
      <c r="V41" s="681">
        <f t="shared" si="46"/>
        <v>4</v>
      </c>
      <c r="W41" s="681">
        <f t="shared" si="46"/>
        <v>5</v>
      </c>
      <c r="X41" s="681">
        <f t="shared" si="46"/>
        <v>0</v>
      </c>
      <c r="Y41" s="681">
        <f t="shared" si="46"/>
        <v>6</v>
      </c>
      <c r="Z41" s="681">
        <f t="shared" si="46"/>
        <v>5</v>
      </c>
      <c r="AA41" s="681">
        <f t="shared" si="46"/>
        <v>0</v>
      </c>
      <c r="AB41" s="681">
        <f t="shared" si="46"/>
        <v>10</v>
      </c>
      <c r="AC41" s="1252"/>
      <c r="AD41" s="1252"/>
      <c r="AE41" s="681"/>
      <c r="AF41" s="681"/>
      <c r="AG41" s="681">
        <f t="shared" si="46"/>
        <v>0</v>
      </c>
      <c r="AH41" s="681">
        <f t="shared" si="46"/>
        <v>0</v>
      </c>
      <c r="AI41" s="681">
        <f t="shared" si="46"/>
        <v>0</v>
      </c>
      <c r="AJ41" s="681">
        <f t="shared" si="46"/>
        <v>0</v>
      </c>
      <c r="AK41" s="681">
        <f t="shared" si="46"/>
        <v>0</v>
      </c>
      <c r="AL41" s="681">
        <f t="shared" si="46"/>
        <v>0</v>
      </c>
      <c r="AM41" s="1252"/>
      <c r="AN41" s="1252"/>
      <c r="AO41" s="681"/>
      <c r="AP41" s="681"/>
      <c r="AQ41" s="681">
        <f t="shared" si="46"/>
        <v>7</v>
      </c>
      <c r="AR41" s="681">
        <f t="shared" si="46"/>
        <v>3</v>
      </c>
      <c r="AS41" s="681">
        <f t="shared" si="46"/>
        <v>7</v>
      </c>
      <c r="AT41" s="681">
        <f t="shared" si="46"/>
        <v>5</v>
      </c>
      <c r="AU41" s="681">
        <f t="shared" si="46"/>
        <v>1</v>
      </c>
      <c r="AV41" s="681">
        <f t="shared" si="46"/>
        <v>2</v>
      </c>
      <c r="AW41" s="681">
        <f t="shared" si="46"/>
        <v>5</v>
      </c>
      <c r="AX41" s="1252"/>
      <c r="AY41" s="1252"/>
      <c r="AZ41" s="681"/>
      <c r="BA41" s="681"/>
      <c r="BB41" s="681">
        <f t="shared" si="46"/>
        <v>0</v>
      </c>
      <c r="BC41" s="681">
        <f t="shared" si="46"/>
        <v>4</v>
      </c>
      <c r="BD41" s="681">
        <f t="shared" si="46"/>
        <v>6</v>
      </c>
      <c r="BE41" s="681">
        <f t="shared" si="46"/>
        <v>10</v>
      </c>
      <c r="BF41" s="681">
        <f t="shared" si="46"/>
        <v>4</v>
      </c>
      <c r="BI41" s="1262"/>
      <c r="BJ41" s="497"/>
      <c r="BK41" s="406"/>
      <c r="BL41" s="406"/>
      <c r="BM41" s="1259"/>
    </row>
    <row r="42" spans="1:65" s="590" customFormat="1" ht="12.75">
      <c r="A42" s="932" t="s">
        <v>1590</v>
      </c>
      <c r="B42" s="942"/>
      <c r="C42" s="422"/>
      <c r="D42" s="571"/>
      <c r="E42" s="571"/>
      <c r="F42" s="571"/>
      <c r="G42" s="1253"/>
      <c r="H42" s="1253"/>
      <c r="I42" s="1251"/>
      <c r="J42" s="1251"/>
      <c r="K42" s="1261"/>
      <c r="L42" s="1261"/>
      <c r="M42" s="681">
        <f>COUNTIF(M26:M40, "H")</f>
        <v>8</v>
      </c>
      <c r="N42" s="681">
        <f t="shared" ref="N42:BF42" si="47">COUNTIF(N26:N40, "H")</f>
        <v>1</v>
      </c>
      <c r="O42" s="681">
        <f t="shared" si="47"/>
        <v>11</v>
      </c>
      <c r="P42" s="663">
        <f t="shared" si="47"/>
        <v>0</v>
      </c>
      <c r="Q42" s="1252"/>
      <c r="R42" s="286"/>
      <c r="S42" s="649"/>
      <c r="T42" s="681"/>
      <c r="U42" s="681">
        <f t="shared" si="47"/>
        <v>6</v>
      </c>
      <c r="V42" s="681">
        <f t="shared" si="47"/>
        <v>8</v>
      </c>
      <c r="W42" s="681">
        <f t="shared" si="47"/>
        <v>7</v>
      </c>
      <c r="X42" s="681">
        <f t="shared" si="47"/>
        <v>0</v>
      </c>
      <c r="Y42" s="681">
        <f t="shared" si="47"/>
        <v>5</v>
      </c>
      <c r="Z42" s="681">
        <f t="shared" si="47"/>
        <v>9</v>
      </c>
      <c r="AA42" s="681">
        <f t="shared" si="47"/>
        <v>8</v>
      </c>
      <c r="AB42" s="681">
        <f t="shared" si="47"/>
        <v>4</v>
      </c>
      <c r="AC42" s="1252"/>
      <c r="AD42" s="1252"/>
      <c r="AE42" s="681"/>
      <c r="AF42" s="681"/>
      <c r="AG42" s="681">
        <f t="shared" si="47"/>
        <v>0</v>
      </c>
      <c r="AH42" s="681">
        <f t="shared" si="47"/>
        <v>0</v>
      </c>
      <c r="AI42" s="681">
        <f t="shared" si="47"/>
        <v>0</v>
      </c>
      <c r="AJ42" s="681">
        <f t="shared" si="47"/>
        <v>0</v>
      </c>
      <c r="AK42" s="681">
        <f t="shared" si="47"/>
        <v>0</v>
      </c>
      <c r="AL42" s="681">
        <f t="shared" si="47"/>
        <v>0</v>
      </c>
      <c r="AM42" s="1252"/>
      <c r="AN42" s="1252"/>
      <c r="AO42" s="681"/>
      <c r="AP42" s="681"/>
      <c r="AQ42" s="681">
        <f t="shared" si="47"/>
        <v>8</v>
      </c>
      <c r="AR42" s="681">
        <f t="shared" si="47"/>
        <v>4</v>
      </c>
      <c r="AS42" s="681">
        <f t="shared" si="47"/>
        <v>0</v>
      </c>
      <c r="AT42" s="681">
        <f t="shared" si="47"/>
        <v>1</v>
      </c>
      <c r="AU42" s="681">
        <f t="shared" si="47"/>
        <v>1</v>
      </c>
      <c r="AV42" s="681">
        <f t="shared" si="47"/>
        <v>13</v>
      </c>
      <c r="AW42" s="681">
        <f t="shared" si="47"/>
        <v>8</v>
      </c>
      <c r="AX42" s="1252"/>
      <c r="AY42" s="1252"/>
      <c r="AZ42" s="681"/>
      <c r="BA42" s="681"/>
      <c r="BB42" s="681">
        <f t="shared" si="47"/>
        <v>3</v>
      </c>
      <c r="BC42" s="681">
        <f t="shared" si="47"/>
        <v>4</v>
      </c>
      <c r="BD42" s="681">
        <f t="shared" si="47"/>
        <v>6</v>
      </c>
      <c r="BE42" s="681">
        <f t="shared" si="47"/>
        <v>4</v>
      </c>
      <c r="BF42" s="681">
        <f t="shared" si="47"/>
        <v>10</v>
      </c>
      <c r="BI42" s="1262"/>
      <c r="BJ42" s="497"/>
      <c r="BK42" s="406"/>
      <c r="BL42" s="406"/>
      <c r="BM42" s="1259"/>
    </row>
    <row r="43" spans="1:65" s="953" customFormat="1" ht="25.5">
      <c r="A43" s="1528" t="s">
        <v>1038</v>
      </c>
      <c r="B43" s="1531" t="s">
        <v>1024</v>
      </c>
      <c r="C43" s="425" t="s">
        <v>1269</v>
      </c>
      <c r="D43" s="1207">
        <f t="shared" ref="D43:D56" si="48">E43+F43</f>
        <v>18</v>
      </c>
      <c r="E43" s="1207">
        <f t="shared" ref="E43:E56" si="49">G43*1</f>
        <v>6</v>
      </c>
      <c r="F43" s="1207">
        <f t="shared" ref="F43:F56" si="50">H43*2</f>
        <v>12</v>
      </c>
      <c r="G43" s="1263">
        <f t="shared" ref="G43:H56" si="51">SUM(K43+S43+AE43+AO43+AZ43)</f>
        <v>6</v>
      </c>
      <c r="H43" s="1263">
        <f t="shared" si="51"/>
        <v>6</v>
      </c>
      <c r="I43" s="1224">
        <f t="shared" ref="I43:I56" si="52">J43/8</f>
        <v>0.5</v>
      </c>
      <c r="J43" s="1225">
        <f t="shared" ref="J43:J56" si="53">K43+(L43*2)</f>
        <v>4</v>
      </c>
      <c r="K43" s="946">
        <f t="shared" ref="K43:K56" si="54">COUNTIF(M43:P43, "M")</f>
        <v>2</v>
      </c>
      <c r="L43" s="1264">
        <f t="shared" ref="L43:L56" si="55">COUNTIF(M43:P43, "H")</f>
        <v>1</v>
      </c>
      <c r="M43" s="682" t="s">
        <v>587</v>
      </c>
      <c r="N43" s="682" t="s">
        <v>562</v>
      </c>
      <c r="O43" s="682" t="s">
        <v>587</v>
      </c>
      <c r="P43" s="665"/>
      <c r="Q43" s="1224">
        <f t="shared" ref="Q43:Q56" si="56">R43/16</f>
        <v>0.3125</v>
      </c>
      <c r="R43" s="1225">
        <f t="shared" ref="R43:R56" si="57">S43+(T43*2)</f>
        <v>5</v>
      </c>
      <c r="S43" s="951">
        <f>COUNTIF(U43:AB43, "M")</f>
        <v>1</v>
      </c>
      <c r="T43" s="946">
        <f>COUNTIF(U43:AB43, "H")</f>
        <v>2</v>
      </c>
      <c r="U43" s="682" t="s">
        <v>562</v>
      </c>
      <c r="V43" s="650"/>
      <c r="W43" s="682" t="s">
        <v>587</v>
      </c>
      <c r="X43" s="682"/>
      <c r="Y43" s="650"/>
      <c r="Z43" s="682"/>
      <c r="AA43" s="1265"/>
      <c r="AB43" s="682" t="s">
        <v>562</v>
      </c>
      <c r="AC43" s="1244"/>
      <c r="AD43" s="1244"/>
      <c r="AE43" s="946">
        <f t="shared" ref="AE43:AE56" si="58">COUNTIF(AG43:AL43, "M")</f>
        <v>0</v>
      </c>
      <c r="AF43" s="946">
        <f t="shared" ref="AF43:AF56" si="59">COUNTIF(AG43:AL43, "H")</f>
        <v>0</v>
      </c>
      <c r="AG43" s="682"/>
      <c r="AH43" s="664"/>
      <c r="AI43" s="664"/>
      <c r="AJ43" s="804"/>
      <c r="AK43" s="1266"/>
      <c r="AL43" s="1267"/>
      <c r="AM43" s="1224">
        <f t="shared" ref="AM43:AM56" si="60">AN43/14</f>
        <v>0.2857142857142857</v>
      </c>
      <c r="AN43" s="1225">
        <f t="shared" ref="AN43:AN80" si="61">AO43+(AP43*2)</f>
        <v>4</v>
      </c>
      <c r="AO43" s="946">
        <f t="shared" ref="AO43:AO56" si="62">COUNTIF(AQ43:AW43, "M")</f>
        <v>2</v>
      </c>
      <c r="AP43" s="946">
        <f t="shared" ref="AP43:AP56" si="63">COUNTIF(AQ43:AW43, "H")</f>
        <v>1</v>
      </c>
      <c r="AQ43" s="664" t="s">
        <v>587</v>
      </c>
      <c r="AR43" s="664"/>
      <c r="AS43" s="664"/>
      <c r="AT43" s="664"/>
      <c r="AU43" s="804"/>
      <c r="AV43" s="664" t="s">
        <v>562</v>
      </c>
      <c r="AW43" s="804" t="s">
        <v>587</v>
      </c>
      <c r="AX43" s="1224">
        <f t="shared" ref="AX43:AX56" si="64">AY43/10</f>
        <v>0.5</v>
      </c>
      <c r="AY43" s="1225">
        <f t="shared" ref="AY43:AY56" si="65">AZ43+(BA43*2)</f>
        <v>5</v>
      </c>
      <c r="AZ43" s="946">
        <f>COUNTIF(BB43:BF43, "M")</f>
        <v>1</v>
      </c>
      <c r="BA43" s="946">
        <f>COUNTIF(BB43:BF43, "H")</f>
        <v>2</v>
      </c>
      <c r="BB43" s="650"/>
      <c r="BC43" s="682"/>
      <c r="BD43" s="650" t="s">
        <v>587</v>
      </c>
      <c r="BE43" s="664" t="s">
        <v>562</v>
      </c>
      <c r="BF43" s="665" t="s">
        <v>562</v>
      </c>
      <c r="BI43" s="1268"/>
      <c r="BJ43" s="500"/>
      <c r="BK43" s="539"/>
      <c r="BL43" s="568"/>
      <c r="BM43" s="1269"/>
    </row>
    <row r="44" spans="1:65" s="953" customFormat="1" ht="45">
      <c r="A44" s="1529"/>
      <c r="B44" s="1532"/>
      <c r="C44" s="425" t="s">
        <v>1074</v>
      </c>
      <c r="D44" s="1207">
        <f t="shared" si="48"/>
        <v>24</v>
      </c>
      <c r="E44" s="1207">
        <f t="shared" si="49"/>
        <v>6</v>
      </c>
      <c r="F44" s="1207">
        <f t="shared" si="50"/>
        <v>18</v>
      </c>
      <c r="G44" s="1263">
        <f t="shared" si="51"/>
        <v>6</v>
      </c>
      <c r="H44" s="1263">
        <f t="shared" si="51"/>
        <v>9</v>
      </c>
      <c r="I44" s="1224">
        <f t="shared" si="52"/>
        <v>0.75</v>
      </c>
      <c r="J44" s="1225">
        <f t="shared" si="53"/>
        <v>6</v>
      </c>
      <c r="K44" s="946">
        <f t="shared" si="54"/>
        <v>0</v>
      </c>
      <c r="L44" s="1264">
        <f t="shared" si="55"/>
        <v>3</v>
      </c>
      <c r="M44" s="682" t="s">
        <v>562</v>
      </c>
      <c r="N44" s="682" t="s">
        <v>562</v>
      </c>
      <c r="O44" s="682" t="s">
        <v>562</v>
      </c>
      <c r="P44" s="665"/>
      <c r="Q44" s="1224">
        <f t="shared" si="56"/>
        <v>0.4375</v>
      </c>
      <c r="R44" s="1225">
        <f t="shared" si="57"/>
        <v>7</v>
      </c>
      <c r="S44" s="951">
        <f t="shared" ref="S44:S56" si="66">COUNTIF(U44:AB44, "M")</f>
        <v>3</v>
      </c>
      <c r="T44" s="946">
        <f t="shared" ref="T44:T56" si="67">COUNTIF(U44:AB44, "H")</f>
        <v>2</v>
      </c>
      <c r="U44" s="682" t="s">
        <v>1699</v>
      </c>
      <c r="V44" s="650" t="s">
        <v>587</v>
      </c>
      <c r="W44" s="682" t="s">
        <v>587</v>
      </c>
      <c r="X44" s="682"/>
      <c r="Y44" s="650" t="s">
        <v>587</v>
      </c>
      <c r="Z44" s="682" t="s">
        <v>562</v>
      </c>
      <c r="AA44" s="1265" t="s">
        <v>562</v>
      </c>
      <c r="AB44" s="682"/>
      <c r="AC44" s="1244"/>
      <c r="AD44" s="1244"/>
      <c r="AE44" s="946">
        <f t="shared" si="58"/>
        <v>0</v>
      </c>
      <c r="AF44" s="946">
        <f t="shared" si="59"/>
        <v>0</v>
      </c>
      <c r="AG44" s="682"/>
      <c r="AH44" s="664"/>
      <c r="AI44" s="664"/>
      <c r="AJ44" s="804"/>
      <c r="AK44" s="1266"/>
      <c r="AL44" s="1267"/>
      <c r="AM44" s="1224">
        <f t="shared" si="60"/>
        <v>0.42857142857142855</v>
      </c>
      <c r="AN44" s="1225">
        <f t="shared" si="61"/>
        <v>6</v>
      </c>
      <c r="AO44" s="946">
        <f t="shared" si="62"/>
        <v>2</v>
      </c>
      <c r="AP44" s="946">
        <f t="shared" si="63"/>
        <v>2</v>
      </c>
      <c r="AQ44" s="664" t="s">
        <v>587</v>
      </c>
      <c r="AR44" s="664"/>
      <c r="AS44" s="664"/>
      <c r="AT44" s="664" t="s">
        <v>562</v>
      </c>
      <c r="AU44" s="804"/>
      <c r="AV44" s="664" t="s">
        <v>562</v>
      </c>
      <c r="AW44" s="804" t="s">
        <v>587</v>
      </c>
      <c r="AX44" s="1224">
        <f t="shared" si="64"/>
        <v>0.5</v>
      </c>
      <c r="AY44" s="1225">
        <f t="shared" si="65"/>
        <v>5</v>
      </c>
      <c r="AZ44" s="946">
        <f t="shared" ref="AZ44:AZ56" si="68">COUNTIF(BB44:BF44, "M")</f>
        <v>1</v>
      </c>
      <c r="BA44" s="946">
        <f t="shared" ref="BA44:BA56" si="69">COUNTIF(BB44:BF44, "H")</f>
        <v>2</v>
      </c>
      <c r="BB44" s="650"/>
      <c r="BC44" s="682"/>
      <c r="BD44" s="650" t="s">
        <v>587</v>
      </c>
      <c r="BE44" s="664" t="s">
        <v>562</v>
      </c>
      <c r="BF44" s="665" t="s">
        <v>562</v>
      </c>
      <c r="BI44" s="1268" t="s">
        <v>1268</v>
      </c>
      <c r="BJ44" s="500" t="s">
        <v>1267</v>
      </c>
      <c r="BK44" s="539"/>
      <c r="BL44" s="568"/>
      <c r="BM44" s="1269"/>
    </row>
    <row r="45" spans="1:65" s="953" customFormat="1" ht="51">
      <c r="A45" s="1529"/>
      <c r="B45" s="331" t="s">
        <v>1266</v>
      </c>
      <c r="C45" s="425" t="s">
        <v>1265</v>
      </c>
      <c r="D45" s="1207">
        <f t="shared" si="48"/>
        <v>22</v>
      </c>
      <c r="E45" s="1207">
        <f t="shared" si="49"/>
        <v>6</v>
      </c>
      <c r="F45" s="1207">
        <f t="shared" si="50"/>
        <v>16</v>
      </c>
      <c r="G45" s="1263">
        <f t="shared" si="51"/>
        <v>6</v>
      </c>
      <c r="H45" s="1263">
        <f t="shared" si="51"/>
        <v>8</v>
      </c>
      <c r="I45" s="1224">
        <f t="shared" si="52"/>
        <v>0.75</v>
      </c>
      <c r="J45" s="1225">
        <f t="shared" si="53"/>
        <v>6</v>
      </c>
      <c r="K45" s="946">
        <f t="shared" si="54"/>
        <v>0</v>
      </c>
      <c r="L45" s="1264">
        <f t="shared" si="55"/>
        <v>3</v>
      </c>
      <c r="M45" s="682" t="s">
        <v>562</v>
      </c>
      <c r="N45" s="682" t="s">
        <v>562</v>
      </c>
      <c r="O45" s="682" t="s">
        <v>562</v>
      </c>
      <c r="P45" s="665"/>
      <c r="Q45" s="1224">
        <f t="shared" si="56"/>
        <v>0.4375</v>
      </c>
      <c r="R45" s="1225">
        <f t="shared" si="57"/>
        <v>7</v>
      </c>
      <c r="S45" s="951">
        <f t="shared" si="66"/>
        <v>3</v>
      </c>
      <c r="T45" s="946">
        <f t="shared" si="67"/>
        <v>2</v>
      </c>
      <c r="U45" s="682" t="s">
        <v>587</v>
      </c>
      <c r="V45" s="650"/>
      <c r="W45" s="682" t="s">
        <v>562</v>
      </c>
      <c r="X45" s="682"/>
      <c r="Y45" s="650" t="s">
        <v>562</v>
      </c>
      <c r="Z45" s="682" t="s">
        <v>587</v>
      </c>
      <c r="AA45" s="1265" t="s">
        <v>587</v>
      </c>
      <c r="AB45" s="682"/>
      <c r="AC45" s="1244"/>
      <c r="AD45" s="1244"/>
      <c r="AE45" s="946">
        <f t="shared" si="58"/>
        <v>0</v>
      </c>
      <c r="AF45" s="946">
        <f t="shared" si="59"/>
        <v>0</v>
      </c>
      <c r="AG45" s="682"/>
      <c r="AH45" s="664"/>
      <c r="AI45" s="664"/>
      <c r="AJ45" s="804"/>
      <c r="AK45" s="1266"/>
      <c r="AL45" s="1267"/>
      <c r="AM45" s="1224">
        <f t="shared" si="60"/>
        <v>0.35714285714285715</v>
      </c>
      <c r="AN45" s="1225">
        <f t="shared" si="61"/>
        <v>5</v>
      </c>
      <c r="AO45" s="946">
        <f t="shared" si="62"/>
        <v>3</v>
      </c>
      <c r="AP45" s="946">
        <f t="shared" si="63"/>
        <v>1</v>
      </c>
      <c r="AQ45" s="664" t="s">
        <v>587</v>
      </c>
      <c r="AR45" s="664" t="s">
        <v>587</v>
      </c>
      <c r="AS45" s="664"/>
      <c r="AT45" s="664" t="s">
        <v>562</v>
      </c>
      <c r="AU45" s="804"/>
      <c r="AV45" s="664" t="s">
        <v>587</v>
      </c>
      <c r="AW45" s="804"/>
      <c r="AX45" s="1224">
        <f t="shared" si="64"/>
        <v>0.4</v>
      </c>
      <c r="AY45" s="1225">
        <f t="shared" si="65"/>
        <v>4</v>
      </c>
      <c r="AZ45" s="946">
        <f t="shared" si="68"/>
        <v>0</v>
      </c>
      <c r="BA45" s="946">
        <f t="shared" si="69"/>
        <v>2</v>
      </c>
      <c r="BB45" s="650"/>
      <c r="BC45" s="682"/>
      <c r="BD45" s="650"/>
      <c r="BE45" s="664" t="s">
        <v>562</v>
      </c>
      <c r="BF45" s="665" t="s">
        <v>562</v>
      </c>
      <c r="BI45" s="1268" t="s">
        <v>1264</v>
      </c>
      <c r="BJ45" s="545" t="s">
        <v>1403</v>
      </c>
      <c r="BK45" s="539"/>
      <c r="BL45" s="568"/>
      <c r="BM45" s="1269"/>
    </row>
    <row r="46" spans="1:65" s="953" customFormat="1" ht="51">
      <c r="A46" s="1529"/>
      <c r="B46" s="331" t="s">
        <v>1263</v>
      </c>
      <c r="C46" s="425" t="s">
        <v>1404</v>
      </c>
      <c r="D46" s="1207">
        <f t="shared" si="48"/>
        <v>13</v>
      </c>
      <c r="E46" s="1207">
        <f t="shared" si="49"/>
        <v>3</v>
      </c>
      <c r="F46" s="1207">
        <f t="shared" si="50"/>
        <v>10</v>
      </c>
      <c r="G46" s="1263">
        <f t="shared" si="51"/>
        <v>3</v>
      </c>
      <c r="H46" s="1263">
        <f t="shared" si="51"/>
        <v>5</v>
      </c>
      <c r="I46" s="1224">
        <f t="shared" si="52"/>
        <v>0.75</v>
      </c>
      <c r="J46" s="1225">
        <f t="shared" si="53"/>
        <v>6</v>
      </c>
      <c r="K46" s="946">
        <f t="shared" si="54"/>
        <v>0</v>
      </c>
      <c r="L46" s="1264">
        <f t="shared" si="55"/>
        <v>3</v>
      </c>
      <c r="M46" s="682" t="s">
        <v>562</v>
      </c>
      <c r="N46" s="682" t="s">
        <v>562</v>
      </c>
      <c r="O46" s="682" t="s">
        <v>562</v>
      </c>
      <c r="P46" s="665"/>
      <c r="Q46" s="1224">
        <f t="shared" si="56"/>
        <v>0.375</v>
      </c>
      <c r="R46" s="1225">
        <f t="shared" si="57"/>
        <v>6</v>
      </c>
      <c r="S46" s="951">
        <f t="shared" si="66"/>
        <v>2</v>
      </c>
      <c r="T46" s="946">
        <f t="shared" si="67"/>
        <v>2</v>
      </c>
      <c r="U46" s="682" t="s">
        <v>587</v>
      </c>
      <c r="V46" s="650"/>
      <c r="W46" s="682"/>
      <c r="X46" s="682"/>
      <c r="Y46" s="650" t="s">
        <v>562</v>
      </c>
      <c r="Z46" s="682" t="s">
        <v>562</v>
      </c>
      <c r="AA46" s="1265" t="s">
        <v>587</v>
      </c>
      <c r="AB46" s="682"/>
      <c r="AC46" s="1244"/>
      <c r="AD46" s="1244"/>
      <c r="AE46" s="946">
        <f t="shared" si="58"/>
        <v>0</v>
      </c>
      <c r="AF46" s="946">
        <f t="shared" si="59"/>
        <v>0</v>
      </c>
      <c r="AG46" s="682"/>
      <c r="AH46" s="664"/>
      <c r="AI46" s="664"/>
      <c r="AJ46" s="804"/>
      <c r="AK46" s="1266"/>
      <c r="AL46" s="1267"/>
      <c r="AM46" s="1224">
        <f t="shared" si="60"/>
        <v>7.1428571428571425E-2</v>
      </c>
      <c r="AN46" s="1225">
        <f t="shared" si="61"/>
        <v>1</v>
      </c>
      <c r="AO46" s="946">
        <f t="shared" si="62"/>
        <v>1</v>
      </c>
      <c r="AP46" s="946">
        <f t="shared" si="63"/>
        <v>0</v>
      </c>
      <c r="AQ46" s="664" t="s">
        <v>587</v>
      </c>
      <c r="AR46" s="664"/>
      <c r="AS46" s="664"/>
      <c r="AT46" s="664"/>
      <c r="AU46" s="804"/>
      <c r="AV46" s="664"/>
      <c r="AW46" s="804"/>
      <c r="AX46" s="1224">
        <f t="shared" si="64"/>
        <v>0</v>
      </c>
      <c r="AY46" s="1225">
        <f t="shared" si="65"/>
        <v>0</v>
      </c>
      <c r="AZ46" s="946">
        <f t="shared" si="68"/>
        <v>0</v>
      </c>
      <c r="BA46" s="946">
        <f t="shared" si="69"/>
        <v>0</v>
      </c>
      <c r="BB46" s="650"/>
      <c r="BC46" s="682"/>
      <c r="BD46" s="650"/>
      <c r="BE46" s="664"/>
      <c r="BF46" s="665"/>
      <c r="BI46" s="1268" t="s">
        <v>1262</v>
      </c>
      <c r="BJ46" s="545" t="s">
        <v>1261</v>
      </c>
      <c r="BK46" s="539"/>
      <c r="BL46" s="568"/>
      <c r="BM46" s="1269"/>
    </row>
    <row r="47" spans="1:65" s="953" customFormat="1" ht="33.75">
      <c r="A47" s="1529"/>
      <c r="B47" s="331" t="s">
        <v>1260</v>
      </c>
      <c r="C47" s="425" t="s">
        <v>1259</v>
      </c>
      <c r="D47" s="1207">
        <f t="shared" si="48"/>
        <v>15</v>
      </c>
      <c r="E47" s="1207">
        <f t="shared" si="49"/>
        <v>3</v>
      </c>
      <c r="F47" s="1207">
        <f t="shared" si="50"/>
        <v>12</v>
      </c>
      <c r="G47" s="1263">
        <f t="shared" si="51"/>
        <v>3</v>
      </c>
      <c r="H47" s="1263">
        <f t="shared" si="51"/>
        <v>6</v>
      </c>
      <c r="I47" s="1224">
        <f t="shared" si="52"/>
        <v>0.75</v>
      </c>
      <c r="J47" s="1225">
        <f t="shared" si="53"/>
        <v>6</v>
      </c>
      <c r="K47" s="946">
        <f t="shared" si="54"/>
        <v>0</v>
      </c>
      <c r="L47" s="1264">
        <f t="shared" si="55"/>
        <v>3</v>
      </c>
      <c r="M47" s="682" t="s">
        <v>562</v>
      </c>
      <c r="N47" s="682" t="s">
        <v>562</v>
      </c>
      <c r="O47" s="682" t="s">
        <v>562</v>
      </c>
      <c r="P47" s="665"/>
      <c r="Q47" s="1224">
        <f t="shared" si="56"/>
        <v>0.25</v>
      </c>
      <c r="R47" s="1225">
        <f t="shared" si="57"/>
        <v>4</v>
      </c>
      <c r="S47" s="951">
        <f t="shared" si="66"/>
        <v>2</v>
      </c>
      <c r="T47" s="946">
        <f t="shared" si="67"/>
        <v>1</v>
      </c>
      <c r="U47" s="682"/>
      <c r="V47" s="650" t="s">
        <v>587</v>
      </c>
      <c r="W47" s="682"/>
      <c r="X47" s="682"/>
      <c r="Y47" s="650" t="s">
        <v>587</v>
      </c>
      <c r="Z47" s="682"/>
      <c r="AA47" s="1265"/>
      <c r="AB47" s="682" t="s">
        <v>562</v>
      </c>
      <c r="AC47" s="1244"/>
      <c r="AD47" s="1244"/>
      <c r="AE47" s="946">
        <f t="shared" si="58"/>
        <v>0</v>
      </c>
      <c r="AF47" s="946">
        <f t="shared" si="59"/>
        <v>0</v>
      </c>
      <c r="AG47" s="682"/>
      <c r="AH47" s="664"/>
      <c r="AI47" s="664"/>
      <c r="AJ47" s="804"/>
      <c r="AK47" s="1266"/>
      <c r="AL47" s="1267"/>
      <c r="AM47" s="1224">
        <f t="shared" si="60"/>
        <v>7.1428571428571425E-2</v>
      </c>
      <c r="AN47" s="1225">
        <f t="shared" si="61"/>
        <v>1</v>
      </c>
      <c r="AO47" s="946">
        <f t="shared" si="62"/>
        <v>1</v>
      </c>
      <c r="AP47" s="946">
        <f t="shared" si="63"/>
        <v>0</v>
      </c>
      <c r="AQ47" s="664" t="s">
        <v>587</v>
      </c>
      <c r="AR47" s="664"/>
      <c r="AS47" s="664"/>
      <c r="AT47" s="664"/>
      <c r="AU47" s="804"/>
      <c r="AV47" s="664"/>
      <c r="AW47" s="804"/>
      <c r="AX47" s="1224">
        <f t="shared" si="64"/>
        <v>0.4</v>
      </c>
      <c r="AY47" s="1225">
        <f t="shared" si="65"/>
        <v>4</v>
      </c>
      <c r="AZ47" s="946">
        <f t="shared" si="68"/>
        <v>0</v>
      </c>
      <c r="BA47" s="946">
        <f t="shared" si="69"/>
        <v>2</v>
      </c>
      <c r="BB47" s="650"/>
      <c r="BC47" s="682"/>
      <c r="BD47" s="650"/>
      <c r="BE47" s="664" t="s">
        <v>562</v>
      </c>
      <c r="BF47" s="665" t="s">
        <v>562</v>
      </c>
      <c r="BI47" s="1268"/>
      <c r="BJ47" s="500" t="s">
        <v>1258</v>
      </c>
      <c r="BK47" s="539"/>
      <c r="BL47" s="568"/>
      <c r="BM47" s="1533" t="s">
        <v>1451</v>
      </c>
    </row>
    <row r="48" spans="1:65" s="953" customFormat="1" ht="25.5">
      <c r="A48" s="1529"/>
      <c r="B48" s="331" t="s">
        <v>1257</v>
      </c>
      <c r="C48" s="425" t="s">
        <v>1256</v>
      </c>
      <c r="D48" s="1207">
        <f t="shared" si="48"/>
        <v>11</v>
      </c>
      <c r="E48" s="1207">
        <f t="shared" si="49"/>
        <v>5</v>
      </c>
      <c r="F48" s="1207">
        <f t="shared" si="50"/>
        <v>6</v>
      </c>
      <c r="G48" s="1263">
        <f t="shared" si="51"/>
        <v>5</v>
      </c>
      <c r="H48" s="1263">
        <f t="shared" si="51"/>
        <v>3</v>
      </c>
      <c r="I48" s="1224">
        <f t="shared" si="52"/>
        <v>0.5</v>
      </c>
      <c r="J48" s="1225">
        <f t="shared" si="53"/>
        <v>4</v>
      </c>
      <c r="K48" s="946">
        <f t="shared" si="54"/>
        <v>2</v>
      </c>
      <c r="L48" s="1264">
        <f t="shared" si="55"/>
        <v>1</v>
      </c>
      <c r="M48" s="682" t="s">
        <v>587</v>
      </c>
      <c r="N48" s="682" t="s">
        <v>587</v>
      </c>
      <c r="O48" s="682" t="s">
        <v>562</v>
      </c>
      <c r="P48" s="665"/>
      <c r="Q48" s="1224">
        <f t="shared" si="56"/>
        <v>6.25E-2</v>
      </c>
      <c r="R48" s="1225">
        <f t="shared" si="57"/>
        <v>1</v>
      </c>
      <c r="S48" s="951">
        <f t="shared" si="66"/>
        <v>1</v>
      </c>
      <c r="T48" s="946">
        <f t="shared" si="67"/>
        <v>0</v>
      </c>
      <c r="U48" s="682"/>
      <c r="V48" s="650"/>
      <c r="W48" s="682"/>
      <c r="X48" s="682"/>
      <c r="Y48" s="650" t="s">
        <v>587</v>
      </c>
      <c r="Z48" s="682"/>
      <c r="AA48" s="1265"/>
      <c r="AB48" s="682"/>
      <c r="AC48" s="1244"/>
      <c r="AD48" s="1244"/>
      <c r="AE48" s="946">
        <f t="shared" si="58"/>
        <v>0</v>
      </c>
      <c r="AF48" s="946">
        <f t="shared" si="59"/>
        <v>0</v>
      </c>
      <c r="AG48" s="682"/>
      <c r="AH48" s="664"/>
      <c r="AI48" s="664"/>
      <c r="AJ48" s="804"/>
      <c r="AK48" s="1266"/>
      <c r="AL48" s="1267"/>
      <c r="AM48" s="1224">
        <f t="shared" si="60"/>
        <v>7.1428571428571425E-2</v>
      </c>
      <c r="AN48" s="1225">
        <f t="shared" si="61"/>
        <v>1</v>
      </c>
      <c r="AO48" s="946">
        <f t="shared" si="62"/>
        <v>1</v>
      </c>
      <c r="AP48" s="946">
        <f t="shared" si="63"/>
        <v>0</v>
      </c>
      <c r="AQ48" s="664" t="s">
        <v>587</v>
      </c>
      <c r="AR48" s="664"/>
      <c r="AS48" s="664"/>
      <c r="AT48" s="664"/>
      <c r="AU48" s="804"/>
      <c r="AV48" s="664"/>
      <c r="AW48" s="804"/>
      <c r="AX48" s="1224">
        <f t="shared" si="64"/>
        <v>0.5</v>
      </c>
      <c r="AY48" s="1225">
        <f t="shared" si="65"/>
        <v>5</v>
      </c>
      <c r="AZ48" s="946">
        <f t="shared" si="68"/>
        <v>1</v>
      </c>
      <c r="BA48" s="946">
        <f t="shared" si="69"/>
        <v>2</v>
      </c>
      <c r="BB48" s="650"/>
      <c r="BC48" s="682"/>
      <c r="BD48" s="650" t="s">
        <v>587</v>
      </c>
      <c r="BE48" s="664" t="s">
        <v>562</v>
      </c>
      <c r="BF48" s="665" t="s">
        <v>562</v>
      </c>
      <c r="BI48" s="1268"/>
      <c r="BJ48" s="500" t="s">
        <v>1255</v>
      </c>
      <c r="BK48" s="539"/>
      <c r="BL48" s="568"/>
      <c r="BM48" s="1534"/>
    </row>
    <row r="49" spans="1:65" s="953" customFormat="1" ht="38.25">
      <c r="A49" s="1529"/>
      <c r="B49" s="331" t="s">
        <v>1254</v>
      </c>
      <c r="C49" s="425" t="s">
        <v>1253</v>
      </c>
      <c r="D49" s="1207">
        <f t="shared" si="48"/>
        <v>17</v>
      </c>
      <c r="E49" s="1207">
        <f t="shared" si="49"/>
        <v>7</v>
      </c>
      <c r="F49" s="1207">
        <f t="shared" si="50"/>
        <v>10</v>
      </c>
      <c r="G49" s="1263">
        <f t="shared" si="51"/>
        <v>7</v>
      </c>
      <c r="H49" s="1263">
        <f t="shared" si="51"/>
        <v>5</v>
      </c>
      <c r="I49" s="1224">
        <f t="shared" si="52"/>
        <v>0.5</v>
      </c>
      <c r="J49" s="1225">
        <f t="shared" si="53"/>
        <v>4</v>
      </c>
      <c r="K49" s="946">
        <f t="shared" si="54"/>
        <v>2</v>
      </c>
      <c r="L49" s="1264">
        <f t="shared" si="55"/>
        <v>1</v>
      </c>
      <c r="M49" s="682" t="s">
        <v>587</v>
      </c>
      <c r="N49" s="682" t="s">
        <v>587</v>
      </c>
      <c r="O49" s="682" t="s">
        <v>562</v>
      </c>
      <c r="P49" s="665"/>
      <c r="Q49" s="1224">
        <f t="shared" si="56"/>
        <v>0.5</v>
      </c>
      <c r="R49" s="1225">
        <f t="shared" si="57"/>
        <v>8</v>
      </c>
      <c r="S49" s="951">
        <f t="shared" si="66"/>
        <v>4</v>
      </c>
      <c r="T49" s="946">
        <f t="shared" si="67"/>
        <v>2</v>
      </c>
      <c r="U49" s="682" t="s">
        <v>562</v>
      </c>
      <c r="V49" s="650"/>
      <c r="W49" s="682" t="s">
        <v>587</v>
      </c>
      <c r="X49" s="682"/>
      <c r="Y49" s="650" t="s">
        <v>587</v>
      </c>
      <c r="Z49" s="682" t="s">
        <v>562</v>
      </c>
      <c r="AA49" s="1265" t="s">
        <v>587</v>
      </c>
      <c r="AB49" s="682" t="s">
        <v>587</v>
      </c>
      <c r="AC49" s="1244"/>
      <c r="AD49" s="1244"/>
      <c r="AE49" s="946">
        <f t="shared" si="58"/>
        <v>0</v>
      </c>
      <c r="AF49" s="946">
        <f t="shared" si="59"/>
        <v>0</v>
      </c>
      <c r="AG49" s="682"/>
      <c r="AH49" s="664"/>
      <c r="AI49" s="664"/>
      <c r="AJ49" s="804"/>
      <c r="AK49" s="1266"/>
      <c r="AL49" s="1267"/>
      <c r="AM49" s="1224">
        <f t="shared" si="60"/>
        <v>7.1428571428571425E-2</v>
      </c>
      <c r="AN49" s="1225">
        <f t="shared" si="61"/>
        <v>1</v>
      </c>
      <c r="AO49" s="946">
        <f t="shared" si="62"/>
        <v>1</v>
      </c>
      <c r="AP49" s="946">
        <f t="shared" si="63"/>
        <v>0</v>
      </c>
      <c r="AQ49" s="664" t="s">
        <v>587</v>
      </c>
      <c r="AR49" s="664"/>
      <c r="AS49" s="664"/>
      <c r="AT49" s="664"/>
      <c r="AU49" s="804"/>
      <c r="AV49" s="664"/>
      <c r="AW49" s="804"/>
      <c r="AX49" s="1224">
        <f t="shared" si="64"/>
        <v>0.4</v>
      </c>
      <c r="AY49" s="1225">
        <f t="shared" si="65"/>
        <v>4</v>
      </c>
      <c r="AZ49" s="946">
        <f t="shared" si="68"/>
        <v>0</v>
      </c>
      <c r="BA49" s="946">
        <f t="shared" si="69"/>
        <v>2</v>
      </c>
      <c r="BB49" s="650"/>
      <c r="BC49" s="682"/>
      <c r="BD49" s="650"/>
      <c r="BE49" s="664" t="s">
        <v>562</v>
      </c>
      <c r="BF49" s="665" t="s">
        <v>562</v>
      </c>
      <c r="BI49" s="1268"/>
      <c r="BJ49" s="500" t="s">
        <v>1252</v>
      </c>
      <c r="BK49" s="539"/>
      <c r="BL49" s="568"/>
      <c r="BM49" s="1535"/>
    </row>
    <row r="50" spans="1:65" s="953" customFormat="1" ht="45">
      <c r="A50" s="1529"/>
      <c r="B50" s="331" t="s">
        <v>1011</v>
      </c>
      <c r="C50" s="425" t="s">
        <v>1251</v>
      </c>
      <c r="D50" s="1207">
        <f t="shared" si="48"/>
        <v>19</v>
      </c>
      <c r="E50" s="1207">
        <f t="shared" si="49"/>
        <v>3</v>
      </c>
      <c r="F50" s="1207">
        <f t="shared" si="50"/>
        <v>16</v>
      </c>
      <c r="G50" s="1263">
        <f t="shared" si="51"/>
        <v>3</v>
      </c>
      <c r="H50" s="1263">
        <f t="shared" si="51"/>
        <v>8</v>
      </c>
      <c r="I50" s="1224">
        <f t="shared" si="52"/>
        <v>0.625</v>
      </c>
      <c r="J50" s="1225">
        <f t="shared" si="53"/>
        <v>5</v>
      </c>
      <c r="K50" s="946">
        <f t="shared" si="54"/>
        <v>1</v>
      </c>
      <c r="L50" s="1264">
        <f t="shared" si="55"/>
        <v>2</v>
      </c>
      <c r="M50" s="682" t="s">
        <v>562</v>
      </c>
      <c r="N50" s="682" t="s">
        <v>587</v>
      </c>
      <c r="O50" s="682" t="s">
        <v>562</v>
      </c>
      <c r="P50" s="665"/>
      <c r="Q50" s="1224">
        <f t="shared" si="56"/>
        <v>0.375</v>
      </c>
      <c r="R50" s="1225">
        <f t="shared" si="57"/>
        <v>6</v>
      </c>
      <c r="S50" s="951">
        <f t="shared" si="66"/>
        <v>0</v>
      </c>
      <c r="T50" s="946">
        <f t="shared" si="67"/>
        <v>3</v>
      </c>
      <c r="U50" s="682" t="s">
        <v>562</v>
      </c>
      <c r="V50" s="650"/>
      <c r="W50" s="682"/>
      <c r="X50" s="682"/>
      <c r="Y50" s="650"/>
      <c r="Z50" s="682" t="s">
        <v>562</v>
      </c>
      <c r="AA50" s="1265" t="s">
        <v>562</v>
      </c>
      <c r="AB50" s="682"/>
      <c r="AC50" s="1244"/>
      <c r="AD50" s="1244"/>
      <c r="AE50" s="946">
        <f t="shared" si="58"/>
        <v>0</v>
      </c>
      <c r="AF50" s="946">
        <f t="shared" si="59"/>
        <v>0</v>
      </c>
      <c r="AG50" s="682"/>
      <c r="AH50" s="664"/>
      <c r="AI50" s="664"/>
      <c r="AJ50" s="804"/>
      <c r="AK50" s="1266"/>
      <c r="AL50" s="1267"/>
      <c r="AM50" s="1224">
        <f t="shared" si="60"/>
        <v>0.2857142857142857</v>
      </c>
      <c r="AN50" s="1225">
        <f t="shared" si="61"/>
        <v>4</v>
      </c>
      <c r="AO50" s="946">
        <f t="shared" si="62"/>
        <v>2</v>
      </c>
      <c r="AP50" s="946">
        <f t="shared" si="63"/>
        <v>1</v>
      </c>
      <c r="AQ50" s="664" t="s">
        <v>587</v>
      </c>
      <c r="AR50" s="664"/>
      <c r="AS50" s="664" t="s">
        <v>587</v>
      </c>
      <c r="AT50" s="664" t="s">
        <v>562</v>
      </c>
      <c r="AU50" s="804"/>
      <c r="AV50" s="664"/>
      <c r="AW50" s="804"/>
      <c r="AX50" s="1224">
        <f t="shared" si="64"/>
        <v>0.4</v>
      </c>
      <c r="AY50" s="1225">
        <f t="shared" si="65"/>
        <v>4</v>
      </c>
      <c r="AZ50" s="946">
        <f t="shared" si="68"/>
        <v>0</v>
      </c>
      <c r="BA50" s="946">
        <f t="shared" si="69"/>
        <v>2</v>
      </c>
      <c r="BB50" s="650"/>
      <c r="BC50" s="682"/>
      <c r="BD50" s="650"/>
      <c r="BE50" s="664" t="s">
        <v>562</v>
      </c>
      <c r="BF50" s="665" t="s">
        <v>562</v>
      </c>
      <c r="BI50" s="1268" t="s">
        <v>1250</v>
      </c>
      <c r="BJ50" s="500" t="s">
        <v>1249</v>
      </c>
      <c r="BK50" s="539"/>
      <c r="BL50" s="568"/>
      <c r="BM50" s="1269"/>
    </row>
    <row r="51" spans="1:65" s="953" customFormat="1" ht="45">
      <c r="A51" s="1529"/>
      <c r="B51" s="331" t="s">
        <v>1248</v>
      </c>
      <c r="C51" s="425" t="s">
        <v>1247</v>
      </c>
      <c r="D51" s="1207">
        <f t="shared" si="48"/>
        <v>11</v>
      </c>
      <c r="E51" s="1207">
        <f t="shared" si="49"/>
        <v>3</v>
      </c>
      <c r="F51" s="1207">
        <f t="shared" si="50"/>
        <v>8</v>
      </c>
      <c r="G51" s="1263">
        <f t="shared" si="51"/>
        <v>3</v>
      </c>
      <c r="H51" s="1263">
        <f t="shared" si="51"/>
        <v>4</v>
      </c>
      <c r="I51" s="1224">
        <f t="shared" si="52"/>
        <v>0.25</v>
      </c>
      <c r="J51" s="1225">
        <f t="shared" si="53"/>
        <v>2</v>
      </c>
      <c r="K51" s="946">
        <f t="shared" si="54"/>
        <v>0</v>
      </c>
      <c r="L51" s="1264">
        <f t="shared" si="55"/>
        <v>1</v>
      </c>
      <c r="M51" s="682"/>
      <c r="N51" s="682"/>
      <c r="O51" s="682" t="s">
        <v>562</v>
      </c>
      <c r="P51" s="665"/>
      <c r="Q51" s="1224">
        <f t="shared" si="56"/>
        <v>0.5</v>
      </c>
      <c r="R51" s="1225">
        <f t="shared" si="57"/>
        <v>8</v>
      </c>
      <c r="S51" s="951">
        <f t="shared" si="66"/>
        <v>2</v>
      </c>
      <c r="T51" s="946">
        <f t="shared" si="67"/>
        <v>3</v>
      </c>
      <c r="U51" s="682"/>
      <c r="V51" s="650" t="s">
        <v>562</v>
      </c>
      <c r="W51" s="682" t="s">
        <v>562</v>
      </c>
      <c r="X51" s="682"/>
      <c r="Y51" s="650" t="s">
        <v>587</v>
      </c>
      <c r="Z51" s="682" t="s">
        <v>587</v>
      </c>
      <c r="AA51" s="1265" t="s">
        <v>562</v>
      </c>
      <c r="AB51" s="682"/>
      <c r="AC51" s="1244"/>
      <c r="AD51" s="1244"/>
      <c r="AE51" s="946">
        <f t="shared" si="58"/>
        <v>0</v>
      </c>
      <c r="AF51" s="946">
        <f t="shared" si="59"/>
        <v>0</v>
      </c>
      <c r="AG51" s="682"/>
      <c r="AH51" s="664"/>
      <c r="AI51" s="664"/>
      <c r="AJ51" s="804"/>
      <c r="AK51" s="1266"/>
      <c r="AL51" s="1267"/>
      <c r="AM51" s="1224">
        <f t="shared" si="60"/>
        <v>7.1428571428571425E-2</v>
      </c>
      <c r="AN51" s="1225">
        <f t="shared" si="61"/>
        <v>1</v>
      </c>
      <c r="AO51" s="946">
        <f t="shared" si="62"/>
        <v>1</v>
      </c>
      <c r="AP51" s="946">
        <f t="shared" si="63"/>
        <v>0</v>
      </c>
      <c r="AQ51" s="664" t="s">
        <v>587</v>
      </c>
      <c r="AR51" s="664"/>
      <c r="AS51" s="664"/>
      <c r="AT51" s="664"/>
      <c r="AU51" s="804"/>
      <c r="AV51" s="664"/>
      <c r="AW51" s="804"/>
      <c r="AX51" s="1224">
        <f t="shared" si="64"/>
        <v>0</v>
      </c>
      <c r="AY51" s="1225">
        <f t="shared" si="65"/>
        <v>0</v>
      </c>
      <c r="AZ51" s="946">
        <f t="shared" si="68"/>
        <v>0</v>
      </c>
      <c r="BA51" s="946">
        <f t="shared" si="69"/>
        <v>0</v>
      </c>
      <c r="BB51" s="650"/>
      <c r="BC51" s="682"/>
      <c r="BD51" s="650"/>
      <c r="BE51" s="664" t="s">
        <v>1455</v>
      </c>
      <c r="BF51" s="665" t="s">
        <v>1455</v>
      </c>
      <c r="BI51" s="1268"/>
      <c r="BJ51" s="500" t="s">
        <v>1246</v>
      </c>
      <c r="BK51" s="539"/>
      <c r="BL51" s="568"/>
      <c r="BM51" s="1269"/>
    </row>
    <row r="52" spans="1:65" s="953" customFormat="1" ht="25.5">
      <c r="A52" s="1529"/>
      <c r="B52" s="331" t="s">
        <v>505</v>
      </c>
      <c r="C52" s="425" t="s">
        <v>1245</v>
      </c>
      <c r="D52" s="1207">
        <f t="shared" si="48"/>
        <v>11</v>
      </c>
      <c r="E52" s="1207">
        <f t="shared" si="49"/>
        <v>3</v>
      </c>
      <c r="F52" s="1207">
        <f t="shared" si="50"/>
        <v>8</v>
      </c>
      <c r="G52" s="1263">
        <f t="shared" si="51"/>
        <v>3</v>
      </c>
      <c r="H52" s="1263">
        <f t="shared" si="51"/>
        <v>4</v>
      </c>
      <c r="I52" s="1224">
        <f t="shared" si="52"/>
        <v>0.5</v>
      </c>
      <c r="J52" s="1225">
        <f t="shared" si="53"/>
        <v>4</v>
      </c>
      <c r="K52" s="946">
        <f t="shared" si="54"/>
        <v>0</v>
      </c>
      <c r="L52" s="1264">
        <f t="shared" si="55"/>
        <v>2</v>
      </c>
      <c r="M52" s="682" t="s">
        <v>562</v>
      </c>
      <c r="N52" s="682"/>
      <c r="O52" s="682" t="s">
        <v>562</v>
      </c>
      <c r="P52" s="665"/>
      <c r="Q52" s="1224">
        <f t="shared" si="56"/>
        <v>6.25E-2</v>
      </c>
      <c r="R52" s="1225">
        <f t="shared" si="57"/>
        <v>1</v>
      </c>
      <c r="S52" s="951">
        <f t="shared" si="66"/>
        <v>1</v>
      </c>
      <c r="T52" s="946">
        <f t="shared" si="67"/>
        <v>0</v>
      </c>
      <c r="U52" s="682" t="s">
        <v>587</v>
      </c>
      <c r="V52" s="650"/>
      <c r="W52" s="682"/>
      <c r="X52" s="682"/>
      <c r="Y52" s="650"/>
      <c r="Z52" s="682"/>
      <c r="AA52" s="1265"/>
      <c r="AB52" s="682"/>
      <c r="AC52" s="1244"/>
      <c r="AD52" s="1244"/>
      <c r="AE52" s="946">
        <f t="shared" si="58"/>
        <v>0</v>
      </c>
      <c r="AF52" s="946">
        <f t="shared" si="59"/>
        <v>0</v>
      </c>
      <c r="AG52" s="682"/>
      <c r="AH52" s="664"/>
      <c r="AI52" s="664"/>
      <c r="AJ52" s="804"/>
      <c r="AK52" s="1266"/>
      <c r="AL52" s="1267"/>
      <c r="AM52" s="1224">
        <f t="shared" si="60"/>
        <v>7.1428571428571425E-2</v>
      </c>
      <c r="AN52" s="1225">
        <f t="shared" si="61"/>
        <v>1</v>
      </c>
      <c r="AO52" s="946">
        <f t="shared" si="62"/>
        <v>1</v>
      </c>
      <c r="AP52" s="946">
        <f t="shared" si="63"/>
        <v>0</v>
      </c>
      <c r="AQ52" s="664" t="s">
        <v>587</v>
      </c>
      <c r="AR52" s="664"/>
      <c r="AS52" s="664"/>
      <c r="AT52" s="664"/>
      <c r="AU52" s="804"/>
      <c r="AV52" s="664"/>
      <c r="AW52" s="804"/>
      <c r="AX52" s="1224">
        <f t="shared" si="64"/>
        <v>0.5</v>
      </c>
      <c r="AY52" s="1225">
        <f t="shared" si="65"/>
        <v>5</v>
      </c>
      <c r="AZ52" s="946">
        <f t="shared" si="68"/>
        <v>1</v>
      </c>
      <c r="BA52" s="946">
        <f t="shared" si="69"/>
        <v>2</v>
      </c>
      <c r="BB52" s="650"/>
      <c r="BC52" s="682"/>
      <c r="BD52" s="650" t="s">
        <v>587</v>
      </c>
      <c r="BE52" s="664" t="s">
        <v>562</v>
      </c>
      <c r="BF52" s="665" t="s">
        <v>562</v>
      </c>
      <c r="BI52" s="1268"/>
      <c r="BJ52" s="500" t="s">
        <v>1244</v>
      </c>
      <c r="BK52" s="539"/>
      <c r="BL52" s="568"/>
      <c r="BM52" s="1269"/>
    </row>
    <row r="53" spans="1:65" s="953" customFormat="1" ht="33.75">
      <c r="A53" s="1529"/>
      <c r="B53" s="331" t="s">
        <v>1010</v>
      </c>
      <c r="C53" s="425" t="s">
        <v>1243</v>
      </c>
      <c r="D53" s="1207">
        <f t="shared" si="48"/>
        <v>12</v>
      </c>
      <c r="E53" s="1207">
        <f t="shared" si="49"/>
        <v>4</v>
      </c>
      <c r="F53" s="1207">
        <f t="shared" si="50"/>
        <v>8</v>
      </c>
      <c r="G53" s="1263">
        <f t="shared" si="51"/>
        <v>4</v>
      </c>
      <c r="H53" s="1263">
        <f t="shared" si="51"/>
        <v>4</v>
      </c>
      <c r="I53" s="1224">
        <f t="shared" si="52"/>
        <v>0.375</v>
      </c>
      <c r="J53" s="1225">
        <f t="shared" si="53"/>
        <v>3</v>
      </c>
      <c r="K53" s="946">
        <f t="shared" si="54"/>
        <v>1</v>
      </c>
      <c r="L53" s="1264">
        <f t="shared" si="55"/>
        <v>1</v>
      </c>
      <c r="M53" s="682" t="s">
        <v>562</v>
      </c>
      <c r="N53" s="682"/>
      <c r="O53" s="682" t="s">
        <v>587</v>
      </c>
      <c r="P53" s="665"/>
      <c r="Q53" s="1224">
        <f t="shared" si="56"/>
        <v>0.25</v>
      </c>
      <c r="R53" s="1225">
        <f t="shared" si="57"/>
        <v>4</v>
      </c>
      <c r="S53" s="951">
        <f t="shared" si="66"/>
        <v>2</v>
      </c>
      <c r="T53" s="946">
        <f t="shared" si="67"/>
        <v>1</v>
      </c>
      <c r="U53" s="682"/>
      <c r="V53" s="650"/>
      <c r="W53" s="682"/>
      <c r="X53" s="682"/>
      <c r="Y53" s="650"/>
      <c r="Z53" s="682" t="s">
        <v>587</v>
      </c>
      <c r="AA53" s="1265" t="s">
        <v>562</v>
      </c>
      <c r="AB53" s="682" t="s">
        <v>587</v>
      </c>
      <c r="AC53" s="1244"/>
      <c r="AD53" s="1244"/>
      <c r="AE53" s="946">
        <f t="shared" si="58"/>
        <v>0</v>
      </c>
      <c r="AF53" s="946">
        <f t="shared" si="59"/>
        <v>0</v>
      </c>
      <c r="AG53" s="682"/>
      <c r="AH53" s="664"/>
      <c r="AI53" s="664"/>
      <c r="AJ53" s="804"/>
      <c r="AK53" s="1266"/>
      <c r="AL53" s="1267"/>
      <c r="AM53" s="1224">
        <f t="shared" si="60"/>
        <v>7.1428571428571425E-2</v>
      </c>
      <c r="AN53" s="1225">
        <f t="shared" si="61"/>
        <v>1</v>
      </c>
      <c r="AO53" s="946">
        <f t="shared" si="62"/>
        <v>1</v>
      </c>
      <c r="AP53" s="946">
        <f t="shared" si="63"/>
        <v>0</v>
      </c>
      <c r="AQ53" s="664" t="s">
        <v>587</v>
      </c>
      <c r="AR53" s="664"/>
      <c r="AS53" s="664"/>
      <c r="AT53" s="664"/>
      <c r="AU53" s="804"/>
      <c r="AV53" s="664"/>
      <c r="AW53" s="804"/>
      <c r="AX53" s="1224">
        <f t="shared" si="64"/>
        <v>0.4</v>
      </c>
      <c r="AY53" s="1225">
        <f t="shared" si="65"/>
        <v>4</v>
      </c>
      <c r="AZ53" s="946">
        <f t="shared" si="68"/>
        <v>0</v>
      </c>
      <c r="BA53" s="946">
        <f t="shared" si="69"/>
        <v>2</v>
      </c>
      <c r="BB53" s="650"/>
      <c r="BC53" s="682"/>
      <c r="BD53" s="650"/>
      <c r="BE53" s="664" t="s">
        <v>562</v>
      </c>
      <c r="BF53" s="665" t="s">
        <v>562</v>
      </c>
      <c r="BI53" s="1268"/>
      <c r="BJ53" s="500" t="s">
        <v>1405</v>
      </c>
      <c r="BK53" s="539"/>
      <c r="BL53" s="568"/>
      <c r="BM53" s="1269"/>
    </row>
    <row r="54" spans="1:65" s="953" customFormat="1" ht="51">
      <c r="A54" s="1529"/>
      <c r="B54" s="331" t="s">
        <v>507</v>
      </c>
      <c r="C54" s="425" t="s">
        <v>1242</v>
      </c>
      <c r="D54" s="1207">
        <f t="shared" si="48"/>
        <v>17</v>
      </c>
      <c r="E54" s="1207">
        <f t="shared" si="49"/>
        <v>5</v>
      </c>
      <c r="F54" s="1207">
        <f t="shared" si="50"/>
        <v>12</v>
      </c>
      <c r="G54" s="1263">
        <f t="shared" si="51"/>
        <v>5</v>
      </c>
      <c r="H54" s="1263">
        <f t="shared" si="51"/>
        <v>6</v>
      </c>
      <c r="I54" s="1224">
        <f t="shared" si="52"/>
        <v>0.75</v>
      </c>
      <c r="J54" s="1225">
        <f t="shared" si="53"/>
        <v>6</v>
      </c>
      <c r="K54" s="946">
        <f t="shared" si="54"/>
        <v>0</v>
      </c>
      <c r="L54" s="1264">
        <f t="shared" si="55"/>
        <v>3</v>
      </c>
      <c r="M54" s="682" t="s">
        <v>562</v>
      </c>
      <c r="N54" s="682" t="s">
        <v>562</v>
      </c>
      <c r="O54" s="682" t="s">
        <v>562</v>
      </c>
      <c r="P54" s="665"/>
      <c r="Q54" s="1224">
        <f t="shared" si="56"/>
        <v>0.375</v>
      </c>
      <c r="R54" s="1225">
        <f t="shared" si="57"/>
        <v>6</v>
      </c>
      <c r="S54" s="951">
        <f t="shared" si="66"/>
        <v>4</v>
      </c>
      <c r="T54" s="946">
        <f t="shared" si="67"/>
        <v>1</v>
      </c>
      <c r="U54" s="682" t="s">
        <v>587</v>
      </c>
      <c r="V54" s="650" t="s">
        <v>587</v>
      </c>
      <c r="W54" s="682"/>
      <c r="X54" s="682"/>
      <c r="Y54" s="650" t="s">
        <v>587</v>
      </c>
      <c r="Z54" s="682" t="s">
        <v>587</v>
      </c>
      <c r="AA54" s="1265"/>
      <c r="AB54" s="682" t="s">
        <v>562</v>
      </c>
      <c r="AC54" s="1244"/>
      <c r="AD54" s="1244"/>
      <c r="AE54" s="946">
        <f t="shared" si="58"/>
        <v>0</v>
      </c>
      <c r="AF54" s="946">
        <f t="shared" si="59"/>
        <v>0</v>
      </c>
      <c r="AG54" s="682"/>
      <c r="AH54" s="664"/>
      <c r="AI54" s="664"/>
      <c r="AJ54" s="804"/>
      <c r="AK54" s="1266"/>
      <c r="AL54" s="1267"/>
      <c r="AM54" s="1224">
        <f t="shared" si="60"/>
        <v>7.1428571428571425E-2</v>
      </c>
      <c r="AN54" s="1225">
        <f t="shared" si="61"/>
        <v>1</v>
      </c>
      <c r="AO54" s="946">
        <f t="shared" si="62"/>
        <v>1</v>
      </c>
      <c r="AP54" s="946">
        <f t="shared" si="63"/>
        <v>0</v>
      </c>
      <c r="AQ54" s="664" t="s">
        <v>587</v>
      </c>
      <c r="AR54" s="664"/>
      <c r="AS54" s="664"/>
      <c r="AT54" s="664"/>
      <c r="AU54" s="804"/>
      <c r="AV54" s="664"/>
      <c r="AW54" s="804"/>
      <c r="AX54" s="1224">
        <f t="shared" si="64"/>
        <v>0.4</v>
      </c>
      <c r="AY54" s="1225">
        <f t="shared" si="65"/>
        <v>4</v>
      </c>
      <c r="AZ54" s="946">
        <f t="shared" si="68"/>
        <v>0</v>
      </c>
      <c r="BA54" s="946">
        <f t="shared" si="69"/>
        <v>2</v>
      </c>
      <c r="BB54" s="650"/>
      <c r="BC54" s="682"/>
      <c r="BD54" s="650"/>
      <c r="BE54" s="664" t="s">
        <v>562</v>
      </c>
      <c r="BF54" s="665" t="s">
        <v>562</v>
      </c>
      <c r="BI54" s="1268"/>
      <c r="BJ54" s="500" t="s">
        <v>1406</v>
      </c>
      <c r="BK54" s="539"/>
      <c r="BL54" s="568"/>
      <c r="BM54" s="1269"/>
    </row>
    <row r="55" spans="1:65" s="953" customFormat="1" ht="38.25">
      <c r="A55" s="1529"/>
      <c r="B55" s="331" t="s">
        <v>967</v>
      </c>
      <c r="C55" s="425" t="s">
        <v>1241</v>
      </c>
      <c r="D55" s="1207">
        <f t="shared" si="48"/>
        <v>8</v>
      </c>
      <c r="E55" s="1207">
        <f t="shared" si="49"/>
        <v>2</v>
      </c>
      <c r="F55" s="1207">
        <f t="shared" si="50"/>
        <v>6</v>
      </c>
      <c r="G55" s="1263">
        <f t="shared" si="51"/>
        <v>2</v>
      </c>
      <c r="H55" s="1263">
        <f t="shared" si="51"/>
        <v>3</v>
      </c>
      <c r="I55" s="1224">
        <f t="shared" si="52"/>
        <v>0.375</v>
      </c>
      <c r="J55" s="1225">
        <f t="shared" si="53"/>
        <v>3</v>
      </c>
      <c r="K55" s="946">
        <f t="shared" si="54"/>
        <v>1</v>
      </c>
      <c r="L55" s="1264">
        <f t="shared" si="55"/>
        <v>1</v>
      </c>
      <c r="M55" s="682" t="s">
        <v>587</v>
      </c>
      <c r="N55" s="682"/>
      <c r="O55" s="682" t="s">
        <v>562</v>
      </c>
      <c r="P55" s="665"/>
      <c r="Q55" s="1224">
        <f t="shared" si="56"/>
        <v>0</v>
      </c>
      <c r="R55" s="1225">
        <f t="shared" si="57"/>
        <v>0</v>
      </c>
      <c r="S55" s="951">
        <f t="shared" si="66"/>
        <v>0</v>
      </c>
      <c r="T55" s="946">
        <f t="shared" si="67"/>
        <v>0</v>
      </c>
      <c r="U55" s="682"/>
      <c r="V55" s="650"/>
      <c r="W55" s="682"/>
      <c r="X55" s="682"/>
      <c r="Y55" s="650"/>
      <c r="Z55" s="682"/>
      <c r="AA55" s="1265"/>
      <c r="AB55" s="682"/>
      <c r="AC55" s="1244"/>
      <c r="AD55" s="1244"/>
      <c r="AE55" s="946">
        <f t="shared" si="58"/>
        <v>0</v>
      </c>
      <c r="AF55" s="946">
        <f t="shared" si="59"/>
        <v>0</v>
      </c>
      <c r="AG55" s="682"/>
      <c r="AH55" s="664"/>
      <c r="AI55" s="664"/>
      <c r="AJ55" s="804"/>
      <c r="AK55" s="1266"/>
      <c r="AL55" s="1267"/>
      <c r="AM55" s="1224">
        <f t="shared" si="60"/>
        <v>7.1428571428571425E-2</v>
      </c>
      <c r="AN55" s="1225">
        <f t="shared" si="61"/>
        <v>1</v>
      </c>
      <c r="AO55" s="946">
        <f t="shared" si="62"/>
        <v>1</v>
      </c>
      <c r="AP55" s="946">
        <f t="shared" si="63"/>
        <v>0</v>
      </c>
      <c r="AQ55" s="664" t="s">
        <v>587</v>
      </c>
      <c r="AR55" s="664"/>
      <c r="AS55" s="664"/>
      <c r="AT55" s="664"/>
      <c r="AU55" s="804"/>
      <c r="AV55" s="664"/>
      <c r="AW55" s="804"/>
      <c r="AX55" s="1224">
        <f t="shared" si="64"/>
        <v>0.4</v>
      </c>
      <c r="AY55" s="1225">
        <f t="shared" si="65"/>
        <v>4</v>
      </c>
      <c r="AZ55" s="946">
        <f t="shared" si="68"/>
        <v>0</v>
      </c>
      <c r="BA55" s="946">
        <f t="shared" si="69"/>
        <v>2</v>
      </c>
      <c r="BB55" s="650"/>
      <c r="BC55" s="682"/>
      <c r="BD55" s="650"/>
      <c r="BE55" s="664" t="s">
        <v>562</v>
      </c>
      <c r="BF55" s="665" t="s">
        <v>562</v>
      </c>
      <c r="BI55" s="1268" t="s">
        <v>1240</v>
      </c>
      <c r="BJ55" s="500" t="s">
        <v>1239</v>
      </c>
      <c r="BK55" s="539"/>
      <c r="BL55" s="568"/>
      <c r="BM55" s="1269"/>
    </row>
    <row r="56" spans="1:65" s="953" customFormat="1" ht="38.25">
      <c r="A56" s="1530"/>
      <c r="B56" s="338" t="s">
        <v>982</v>
      </c>
      <c r="C56" s="426" t="s">
        <v>1238</v>
      </c>
      <c r="D56" s="1207">
        <f t="shared" si="48"/>
        <v>12</v>
      </c>
      <c r="E56" s="1207">
        <f t="shared" si="49"/>
        <v>4</v>
      </c>
      <c r="F56" s="1207">
        <f t="shared" si="50"/>
        <v>8</v>
      </c>
      <c r="G56" s="1263">
        <f t="shared" si="51"/>
        <v>4</v>
      </c>
      <c r="H56" s="1263">
        <f t="shared" si="51"/>
        <v>4</v>
      </c>
      <c r="I56" s="1224">
        <f t="shared" si="52"/>
        <v>0.5</v>
      </c>
      <c r="J56" s="1225">
        <f t="shared" si="53"/>
        <v>4</v>
      </c>
      <c r="K56" s="946">
        <f t="shared" si="54"/>
        <v>2</v>
      </c>
      <c r="L56" s="1264">
        <f t="shared" si="55"/>
        <v>1</v>
      </c>
      <c r="M56" s="682" t="s">
        <v>587</v>
      </c>
      <c r="N56" s="682" t="s">
        <v>587</v>
      </c>
      <c r="O56" s="682" t="s">
        <v>562</v>
      </c>
      <c r="P56" s="665"/>
      <c r="Q56" s="1224">
        <f t="shared" si="56"/>
        <v>6.25E-2</v>
      </c>
      <c r="R56" s="1225">
        <f t="shared" si="57"/>
        <v>1</v>
      </c>
      <c r="S56" s="951">
        <f t="shared" si="66"/>
        <v>1</v>
      </c>
      <c r="T56" s="946">
        <f t="shared" si="67"/>
        <v>0</v>
      </c>
      <c r="U56" s="682"/>
      <c r="V56" s="650" t="s">
        <v>587</v>
      </c>
      <c r="W56" s="682"/>
      <c r="X56" s="682"/>
      <c r="Y56" s="650"/>
      <c r="Z56" s="682"/>
      <c r="AA56" s="1265"/>
      <c r="AB56" s="682"/>
      <c r="AC56" s="1244"/>
      <c r="AD56" s="1244"/>
      <c r="AE56" s="946">
        <f t="shared" si="58"/>
        <v>0</v>
      </c>
      <c r="AF56" s="946">
        <f t="shared" si="59"/>
        <v>0</v>
      </c>
      <c r="AG56" s="682"/>
      <c r="AH56" s="664"/>
      <c r="AI56" s="664"/>
      <c r="AJ56" s="804"/>
      <c r="AK56" s="1266"/>
      <c r="AL56" s="1267"/>
      <c r="AM56" s="1224">
        <f t="shared" si="60"/>
        <v>7.1428571428571425E-2</v>
      </c>
      <c r="AN56" s="1225">
        <f t="shared" si="61"/>
        <v>1</v>
      </c>
      <c r="AO56" s="946">
        <f t="shared" si="62"/>
        <v>1</v>
      </c>
      <c r="AP56" s="946">
        <f t="shared" si="63"/>
        <v>0</v>
      </c>
      <c r="AQ56" s="664" t="s">
        <v>587</v>
      </c>
      <c r="AR56" s="664"/>
      <c r="AS56" s="664"/>
      <c r="AT56" s="664"/>
      <c r="AU56" s="804"/>
      <c r="AV56" s="664"/>
      <c r="AW56" s="804"/>
      <c r="AX56" s="1224">
        <f t="shared" si="64"/>
        <v>0.6</v>
      </c>
      <c r="AY56" s="1225">
        <f t="shared" si="65"/>
        <v>6</v>
      </c>
      <c r="AZ56" s="946">
        <f t="shared" si="68"/>
        <v>0</v>
      </c>
      <c r="BA56" s="946">
        <f t="shared" si="69"/>
        <v>3</v>
      </c>
      <c r="BB56" s="650"/>
      <c r="BC56" s="682"/>
      <c r="BD56" s="650" t="s">
        <v>562</v>
      </c>
      <c r="BE56" s="664" t="s">
        <v>562</v>
      </c>
      <c r="BF56" s="665" t="s">
        <v>562</v>
      </c>
      <c r="BI56" s="1268"/>
      <c r="BJ56" s="546" t="s">
        <v>1237</v>
      </c>
      <c r="BK56" s="539"/>
      <c r="BL56" s="568"/>
      <c r="BM56" s="1269"/>
    </row>
    <row r="57" spans="1:65" s="953" customFormat="1" ht="12.75">
      <c r="A57" s="946" t="s">
        <v>1589</v>
      </c>
      <c r="B57" s="954"/>
      <c r="C57" s="425"/>
      <c r="D57" s="571"/>
      <c r="E57" s="571"/>
      <c r="F57" s="571"/>
      <c r="G57" s="1263"/>
      <c r="H57" s="1263"/>
      <c r="I57" s="1251"/>
      <c r="J57" s="1251"/>
      <c r="K57" s="1270"/>
      <c r="L57" s="1270"/>
      <c r="M57" s="682">
        <f>COUNTIF(M43:M56, "M")</f>
        <v>5</v>
      </c>
      <c r="N57" s="682">
        <f t="shared" ref="N57:BF57" si="70">COUNTIF(N43:N56, "M")</f>
        <v>4</v>
      </c>
      <c r="O57" s="682">
        <f t="shared" si="70"/>
        <v>2</v>
      </c>
      <c r="P57" s="665">
        <f t="shared" si="70"/>
        <v>0</v>
      </c>
      <c r="Q57" s="1252"/>
      <c r="R57" s="286"/>
      <c r="S57" s="650"/>
      <c r="T57" s="682"/>
      <c r="U57" s="682">
        <f t="shared" si="70"/>
        <v>4</v>
      </c>
      <c r="V57" s="682">
        <f t="shared" si="70"/>
        <v>4</v>
      </c>
      <c r="W57" s="682">
        <f t="shared" si="70"/>
        <v>3</v>
      </c>
      <c r="X57" s="682">
        <f t="shared" si="70"/>
        <v>0</v>
      </c>
      <c r="Y57" s="682">
        <f t="shared" si="70"/>
        <v>6</v>
      </c>
      <c r="Z57" s="682">
        <f t="shared" si="70"/>
        <v>4</v>
      </c>
      <c r="AA57" s="682">
        <f t="shared" si="70"/>
        <v>3</v>
      </c>
      <c r="AB57" s="682">
        <f t="shared" si="70"/>
        <v>2</v>
      </c>
      <c r="AC57" s="1252"/>
      <c r="AD57" s="1252"/>
      <c r="AE57" s="682"/>
      <c r="AF57" s="682"/>
      <c r="AG57" s="682">
        <f t="shared" si="70"/>
        <v>0</v>
      </c>
      <c r="AH57" s="682">
        <f t="shared" si="70"/>
        <v>0</v>
      </c>
      <c r="AI57" s="682">
        <f t="shared" si="70"/>
        <v>0</v>
      </c>
      <c r="AJ57" s="682">
        <f t="shared" si="70"/>
        <v>0</v>
      </c>
      <c r="AK57" s="682">
        <f t="shared" si="70"/>
        <v>0</v>
      </c>
      <c r="AL57" s="682">
        <f t="shared" si="70"/>
        <v>0</v>
      </c>
      <c r="AM57" s="1224">
        <f t="shared" ref="AM57:AM58" si="71">AN57/8</f>
        <v>0</v>
      </c>
      <c r="AN57" s="1225">
        <f t="shared" si="61"/>
        <v>0</v>
      </c>
      <c r="AO57" s="682"/>
      <c r="AP57" s="682"/>
      <c r="AQ57" s="682">
        <f t="shared" si="70"/>
        <v>14</v>
      </c>
      <c r="AR57" s="682">
        <f t="shared" si="70"/>
        <v>1</v>
      </c>
      <c r="AS57" s="682">
        <f t="shared" si="70"/>
        <v>1</v>
      </c>
      <c r="AT57" s="682">
        <f t="shared" si="70"/>
        <v>0</v>
      </c>
      <c r="AU57" s="682">
        <f t="shared" si="70"/>
        <v>0</v>
      </c>
      <c r="AV57" s="682">
        <f t="shared" si="70"/>
        <v>1</v>
      </c>
      <c r="AW57" s="682">
        <f t="shared" si="70"/>
        <v>2</v>
      </c>
      <c r="AX57" s="1252"/>
      <c r="AY57" s="1252"/>
      <c r="AZ57" s="682"/>
      <c r="BA57" s="682"/>
      <c r="BB57" s="682">
        <f t="shared" si="70"/>
        <v>0</v>
      </c>
      <c r="BC57" s="682">
        <f t="shared" si="70"/>
        <v>0</v>
      </c>
      <c r="BD57" s="682">
        <f t="shared" si="70"/>
        <v>4</v>
      </c>
      <c r="BE57" s="682">
        <f t="shared" si="70"/>
        <v>0</v>
      </c>
      <c r="BF57" s="682">
        <f t="shared" si="70"/>
        <v>0</v>
      </c>
      <c r="BI57" s="1271"/>
      <c r="BJ57" s="546"/>
      <c r="BK57" s="568"/>
      <c r="BL57" s="568"/>
      <c r="BM57" s="1269"/>
    </row>
    <row r="58" spans="1:65" s="953" customFormat="1" ht="12.75">
      <c r="A58" s="946" t="s">
        <v>1590</v>
      </c>
      <c r="B58" s="954"/>
      <c r="C58" s="425"/>
      <c r="D58" s="571"/>
      <c r="E58" s="571"/>
      <c r="F58" s="571"/>
      <c r="G58" s="1263"/>
      <c r="H58" s="1263"/>
      <c r="I58" s="1251"/>
      <c r="J58" s="1251"/>
      <c r="K58" s="1270"/>
      <c r="L58" s="1270"/>
      <c r="M58" s="682">
        <f>COUNTIF(M43:M56, "H")</f>
        <v>8</v>
      </c>
      <c r="N58" s="682">
        <f t="shared" ref="N58:BF58" si="72">COUNTIF(N43:N56, "H")</f>
        <v>6</v>
      </c>
      <c r="O58" s="682">
        <f t="shared" si="72"/>
        <v>12</v>
      </c>
      <c r="P58" s="665">
        <f t="shared" si="72"/>
        <v>0</v>
      </c>
      <c r="Q58" s="1252"/>
      <c r="R58" s="286"/>
      <c r="S58" s="650"/>
      <c r="T58" s="682"/>
      <c r="U58" s="682">
        <f t="shared" si="72"/>
        <v>3</v>
      </c>
      <c r="V58" s="682">
        <f t="shared" si="72"/>
        <v>1</v>
      </c>
      <c r="W58" s="682">
        <f t="shared" si="72"/>
        <v>2</v>
      </c>
      <c r="X58" s="682">
        <f t="shared" si="72"/>
        <v>0</v>
      </c>
      <c r="Y58" s="682">
        <f t="shared" si="72"/>
        <v>2</v>
      </c>
      <c r="Z58" s="682">
        <f t="shared" si="72"/>
        <v>4</v>
      </c>
      <c r="AA58" s="682">
        <f t="shared" si="72"/>
        <v>4</v>
      </c>
      <c r="AB58" s="682">
        <f t="shared" si="72"/>
        <v>3</v>
      </c>
      <c r="AC58" s="1252"/>
      <c r="AD58" s="1252"/>
      <c r="AE58" s="682"/>
      <c r="AF58" s="682"/>
      <c r="AG58" s="682">
        <f t="shared" si="72"/>
        <v>0</v>
      </c>
      <c r="AH58" s="682">
        <f t="shared" si="72"/>
        <v>0</v>
      </c>
      <c r="AI58" s="682">
        <f t="shared" si="72"/>
        <v>0</v>
      </c>
      <c r="AJ58" s="682">
        <f t="shared" si="72"/>
        <v>0</v>
      </c>
      <c r="AK58" s="682">
        <f t="shared" si="72"/>
        <v>0</v>
      </c>
      <c r="AL58" s="682">
        <f t="shared" si="72"/>
        <v>0</v>
      </c>
      <c r="AM58" s="1224">
        <f t="shared" si="71"/>
        <v>0</v>
      </c>
      <c r="AN58" s="1225">
        <f t="shared" si="61"/>
        <v>0</v>
      </c>
      <c r="AO58" s="682"/>
      <c r="AP58" s="682"/>
      <c r="AQ58" s="682">
        <f t="shared" si="72"/>
        <v>0</v>
      </c>
      <c r="AR58" s="682">
        <f t="shared" si="72"/>
        <v>0</v>
      </c>
      <c r="AS58" s="682">
        <f t="shared" si="72"/>
        <v>0</v>
      </c>
      <c r="AT58" s="682">
        <f t="shared" si="72"/>
        <v>3</v>
      </c>
      <c r="AU58" s="682">
        <f t="shared" si="72"/>
        <v>0</v>
      </c>
      <c r="AV58" s="682">
        <f t="shared" si="72"/>
        <v>2</v>
      </c>
      <c r="AW58" s="682">
        <f t="shared" si="72"/>
        <v>0</v>
      </c>
      <c r="AX58" s="1252"/>
      <c r="AY58" s="1252"/>
      <c r="AZ58" s="682"/>
      <c r="BA58" s="682"/>
      <c r="BB58" s="682">
        <f t="shared" si="72"/>
        <v>0</v>
      </c>
      <c r="BC58" s="682">
        <f t="shared" si="72"/>
        <v>0</v>
      </c>
      <c r="BD58" s="682">
        <f t="shared" si="72"/>
        <v>1</v>
      </c>
      <c r="BE58" s="682">
        <f t="shared" si="72"/>
        <v>12</v>
      </c>
      <c r="BF58" s="682">
        <f t="shared" si="72"/>
        <v>12</v>
      </c>
      <c r="BI58" s="1271"/>
      <c r="BJ58" s="546"/>
      <c r="BK58" s="568"/>
      <c r="BL58" s="568"/>
      <c r="BM58" s="1269"/>
    </row>
    <row r="59" spans="1:65" s="966" customFormat="1" ht="12.75">
      <c r="A59" s="1536" t="s">
        <v>577</v>
      </c>
      <c r="B59" s="1537" t="s">
        <v>983</v>
      </c>
      <c r="C59" s="423" t="s">
        <v>859</v>
      </c>
      <c r="D59" s="1207">
        <f t="shared" ref="D59:D80" si="73">E59+F59</f>
        <v>27</v>
      </c>
      <c r="E59" s="1207">
        <f t="shared" ref="E59:E80" si="74">G59*1</f>
        <v>3</v>
      </c>
      <c r="F59" s="1207">
        <f t="shared" ref="F59:F80" si="75">H59*2</f>
        <v>24</v>
      </c>
      <c r="G59" s="1272">
        <f t="shared" ref="G59:H80" si="76">SUM(K59+S59+AE59+AO59+AZ59)</f>
        <v>3</v>
      </c>
      <c r="H59" s="1272">
        <f t="shared" si="76"/>
        <v>12</v>
      </c>
      <c r="I59" s="1224">
        <f t="shared" ref="I59:I80" si="77">J59/8</f>
        <v>0.625</v>
      </c>
      <c r="J59" s="1225">
        <f t="shared" ref="J59:J80" si="78">K59+(L59*2)</f>
        <v>5</v>
      </c>
      <c r="K59" s="958">
        <f t="shared" ref="K59:K80" si="79">COUNTIF(M59:P59, "M")</f>
        <v>1</v>
      </c>
      <c r="L59" s="1273">
        <f t="shared" ref="L59:L80" si="80">COUNTIF(M59:P59, "H")</f>
        <v>2</v>
      </c>
      <c r="M59" s="683" t="s">
        <v>562</v>
      </c>
      <c r="N59" s="683" t="s">
        <v>562</v>
      </c>
      <c r="O59" s="683" t="s">
        <v>587</v>
      </c>
      <c r="P59" s="666"/>
      <c r="Q59" s="1224">
        <f t="shared" ref="Q59:Q80" si="81">R59/16</f>
        <v>0.8125</v>
      </c>
      <c r="R59" s="1225">
        <f t="shared" ref="R59:R80" si="82">S59+(T59*2)</f>
        <v>13</v>
      </c>
      <c r="S59" s="963">
        <f>COUNTIF(U59:AB59, "M")</f>
        <v>1</v>
      </c>
      <c r="T59" s="958">
        <f>COUNTIF(U59:AB59, "H")</f>
        <v>6</v>
      </c>
      <c r="U59" s="683" t="s">
        <v>562</v>
      </c>
      <c r="V59" s="651" t="s">
        <v>562</v>
      </c>
      <c r="W59" s="683" t="s">
        <v>562</v>
      </c>
      <c r="X59" s="683"/>
      <c r="Y59" s="651" t="s">
        <v>562</v>
      </c>
      <c r="Z59" s="683" t="s">
        <v>587</v>
      </c>
      <c r="AA59" s="1274" t="s">
        <v>562</v>
      </c>
      <c r="AB59" s="683" t="s">
        <v>562</v>
      </c>
      <c r="AC59" s="1244"/>
      <c r="AD59" s="1244"/>
      <c r="AE59" s="958">
        <f>COUNTIF(AG59:AL59, "M")</f>
        <v>0</v>
      </c>
      <c r="AF59" s="958">
        <f>COUNTIF(AG59:AL59, "H")</f>
        <v>0</v>
      </c>
      <c r="AG59" s="1540"/>
      <c r="AH59" s="1541"/>
      <c r="AI59" s="659"/>
      <c r="AJ59" s="805"/>
      <c r="AK59" s="1275"/>
      <c r="AL59" s="1276"/>
      <c r="AM59" s="1224">
        <f t="shared" ref="AM59:AM80" si="83">AN59/14</f>
        <v>0.35714285714285715</v>
      </c>
      <c r="AN59" s="1225">
        <f t="shared" si="61"/>
        <v>5</v>
      </c>
      <c r="AO59" s="958">
        <f t="shared" ref="AO59:AO80" si="84">COUNTIF(AQ59:AW59, "M")</f>
        <v>1</v>
      </c>
      <c r="AP59" s="958">
        <f t="shared" ref="AP59:AP80" si="85">COUNTIF(AQ59:AW59, "H")</f>
        <v>2</v>
      </c>
      <c r="AQ59" s="659" t="s">
        <v>562</v>
      </c>
      <c r="AR59" s="659" t="s">
        <v>587</v>
      </c>
      <c r="AS59" s="659" t="s">
        <v>562</v>
      </c>
      <c r="AT59" s="659"/>
      <c r="AU59" s="666"/>
      <c r="AV59" s="659"/>
      <c r="AW59" s="805"/>
      <c r="AX59" s="1224">
        <f t="shared" ref="AX59:AX80" si="86">AY59/10</f>
        <v>0.4</v>
      </c>
      <c r="AY59" s="1225">
        <f t="shared" ref="AY59:AY80" si="87">AZ59+(BA59*2)</f>
        <v>4</v>
      </c>
      <c r="AZ59" s="958">
        <f t="shared" ref="AZ59:AZ80" si="88">COUNTIF(BB59:BF59, "M")</f>
        <v>0</v>
      </c>
      <c r="BA59" s="958">
        <f t="shared" ref="BA59:BA80" si="89">COUNTIF(BB59:BF59, "H")</f>
        <v>2</v>
      </c>
      <c r="BB59" s="651"/>
      <c r="BC59" s="683"/>
      <c r="BD59" s="651"/>
      <c r="BE59" s="659" t="s">
        <v>562</v>
      </c>
      <c r="BF59" s="666" t="s">
        <v>562</v>
      </c>
      <c r="BI59" s="1542" t="s">
        <v>1236</v>
      </c>
      <c r="BJ59" s="1523" t="s">
        <v>1235</v>
      </c>
      <c r="BK59" s="490"/>
      <c r="BL59" s="569"/>
      <c r="BM59" s="1277"/>
    </row>
    <row r="60" spans="1:65" s="966" customFormat="1" ht="12.75">
      <c r="A60" s="1536"/>
      <c r="B60" s="1538"/>
      <c r="C60" s="423" t="s">
        <v>860</v>
      </c>
      <c r="D60" s="1207">
        <f t="shared" si="73"/>
        <v>27</v>
      </c>
      <c r="E60" s="1207">
        <f t="shared" si="74"/>
        <v>3</v>
      </c>
      <c r="F60" s="1207">
        <f t="shared" si="75"/>
        <v>24</v>
      </c>
      <c r="G60" s="1272">
        <f t="shared" si="76"/>
        <v>3</v>
      </c>
      <c r="H60" s="1272">
        <f t="shared" si="76"/>
        <v>12</v>
      </c>
      <c r="I60" s="1224">
        <f t="shared" si="77"/>
        <v>0.625</v>
      </c>
      <c r="J60" s="1225">
        <f t="shared" si="78"/>
        <v>5</v>
      </c>
      <c r="K60" s="958">
        <f t="shared" si="79"/>
        <v>1</v>
      </c>
      <c r="L60" s="1273">
        <f t="shared" si="80"/>
        <v>2</v>
      </c>
      <c r="M60" s="683" t="s">
        <v>587</v>
      </c>
      <c r="N60" s="683" t="s">
        <v>562</v>
      </c>
      <c r="O60" s="683" t="s">
        <v>562</v>
      </c>
      <c r="P60" s="666"/>
      <c r="Q60" s="1224">
        <f t="shared" si="81"/>
        <v>0.8125</v>
      </c>
      <c r="R60" s="1225">
        <f t="shared" si="82"/>
        <v>13</v>
      </c>
      <c r="S60" s="963">
        <f t="shared" ref="S60:S80" si="90">COUNTIF(U60:AB60, "M")</f>
        <v>1</v>
      </c>
      <c r="T60" s="958">
        <f t="shared" ref="T60:T80" si="91">COUNTIF(U60:AB60, "H")</f>
        <v>6</v>
      </c>
      <c r="U60" s="683" t="s">
        <v>562</v>
      </c>
      <c r="V60" s="651" t="s">
        <v>562</v>
      </c>
      <c r="W60" s="683" t="s">
        <v>562</v>
      </c>
      <c r="X60" s="683"/>
      <c r="Y60" s="651" t="s">
        <v>562</v>
      </c>
      <c r="Z60" s="683" t="s">
        <v>587</v>
      </c>
      <c r="AA60" s="1274" t="s">
        <v>562</v>
      </c>
      <c r="AB60" s="683" t="s">
        <v>562</v>
      </c>
      <c r="AC60" s="1244"/>
      <c r="AD60" s="1244"/>
      <c r="AE60" s="958">
        <f t="shared" ref="AE60:AE80" si="92">COUNTIF(AG60:AL60, "M")</f>
        <v>0</v>
      </c>
      <c r="AF60" s="958">
        <f t="shared" ref="AF60:AF80" si="93">COUNTIF(AG60:AL60, "H")</f>
        <v>0</v>
      </c>
      <c r="AG60" s="1540"/>
      <c r="AH60" s="1541"/>
      <c r="AI60" s="659"/>
      <c r="AJ60" s="805"/>
      <c r="AK60" s="1275"/>
      <c r="AL60" s="1276"/>
      <c r="AM60" s="1224">
        <f t="shared" si="83"/>
        <v>0.35714285714285715</v>
      </c>
      <c r="AN60" s="1225">
        <f t="shared" si="61"/>
        <v>5</v>
      </c>
      <c r="AO60" s="958">
        <f t="shared" si="84"/>
        <v>1</v>
      </c>
      <c r="AP60" s="958">
        <f t="shared" si="85"/>
        <v>2</v>
      </c>
      <c r="AQ60" s="659" t="s">
        <v>562</v>
      </c>
      <c r="AR60" s="659" t="s">
        <v>587</v>
      </c>
      <c r="AS60" s="659" t="s">
        <v>562</v>
      </c>
      <c r="AT60" s="659"/>
      <c r="AU60" s="666"/>
      <c r="AV60" s="659"/>
      <c r="AW60" s="805"/>
      <c r="AX60" s="1224">
        <f t="shared" si="86"/>
        <v>0.4</v>
      </c>
      <c r="AY60" s="1225">
        <f t="shared" si="87"/>
        <v>4</v>
      </c>
      <c r="AZ60" s="958">
        <f t="shared" si="88"/>
        <v>0</v>
      </c>
      <c r="BA60" s="958">
        <f t="shared" si="89"/>
        <v>2</v>
      </c>
      <c r="BB60" s="651"/>
      <c r="BC60" s="683"/>
      <c r="BD60" s="651"/>
      <c r="BE60" s="659" t="s">
        <v>562</v>
      </c>
      <c r="BF60" s="666" t="s">
        <v>562</v>
      </c>
      <c r="BI60" s="1543"/>
      <c r="BJ60" s="1545"/>
      <c r="BK60" s="490"/>
      <c r="BL60" s="569"/>
      <c r="BM60" s="1277"/>
    </row>
    <row r="61" spans="1:65" s="966" customFormat="1" ht="12.75">
      <c r="A61" s="1536"/>
      <c r="B61" s="1538"/>
      <c r="C61" s="423" t="s">
        <v>861</v>
      </c>
      <c r="D61" s="1207">
        <f t="shared" si="73"/>
        <v>27</v>
      </c>
      <c r="E61" s="1207">
        <f t="shared" si="74"/>
        <v>3</v>
      </c>
      <c r="F61" s="1207">
        <f t="shared" si="75"/>
        <v>24</v>
      </c>
      <c r="G61" s="1272">
        <f t="shared" si="76"/>
        <v>3</v>
      </c>
      <c r="H61" s="1272">
        <f t="shared" si="76"/>
        <v>12</v>
      </c>
      <c r="I61" s="1224">
        <f t="shared" si="77"/>
        <v>0.375</v>
      </c>
      <c r="J61" s="1225">
        <f t="shared" si="78"/>
        <v>3</v>
      </c>
      <c r="K61" s="958">
        <f t="shared" si="79"/>
        <v>1</v>
      </c>
      <c r="L61" s="1273">
        <f t="shared" si="80"/>
        <v>1</v>
      </c>
      <c r="M61" s="683"/>
      <c r="N61" s="683" t="s">
        <v>587</v>
      </c>
      <c r="O61" s="683" t="s">
        <v>562</v>
      </c>
      <c r="P61" s="666"/>
      <c r="Q61" s="1224">
        <f t="shared" si="81"/>
        <v>0.8125</v>
      </c>
      <c r="R61" s="1225">
        <f t="shared" si="82"/>
        <v>13</v>
      </c>
      <c r="S61" s="963">
        <f t="shared" si="90"/>
        <v>1</v>
      </c>
      <c r="T61" s="958">
        <f t="shared" si="91"/>
        <v>6</v>
      </c>
      <c r="U61" s="683" t="s">
        <v>562</v>
      </c>
      <c r="V61" s="651" t="s">
        <v>562</v>
      </c>
      <c r="W61" s="683" t="s">
        <v>562</v>
      </c>
      <c r="X61" s="683"/>
      <c r="Y61" s="651" t="s">
        <v>562</v>
      </c>
      <c r="Z61" s="683" t="s">
        <v>587</v>
      </c>
      <c r="AA61" s="1274" t="s">
        <v>562</v>
      </c>
      <c r="AB61" s="683" t="s">
        <v>562</v>
      </c>
      <c r="AC61" s="1244"/>
      <c r="AD61" s="1244"/>
      <c r="AE61" s="958">
        <f t="shared" si="92"/>
        <v>0</v>
      </c>
      <c r="AF61" s="958">
        <f t="shared" si="93"/>
        <v>0</v>
      </c>
      <c r="AG61" s="1540"/>
      <c r="AH61" s="1541"/>
      <c r="AI61" s="659"/>
      <c r="AJ61" s="805"/>
      <c r="AK61" s="1275"/>
      <c r="AL61" s="1276"/>
      <c r="AM61" s="1224">
        <f t="shared" si="83"/>
        <v>0.5</v>
      </c>
      <c r="AN61" s="1225">
        <f t="shared" si="61"/>
        <v>7</v>
      </c>
      <c r="AO61" s="958">
        <f t="shared" si="84"/>
        <v>1</v>
      </c>
      <c r="AP61" s="958">
        <f t="shared" si="85"/>
        <v>3</v>
      </c>
      <c r="AQ61" s="659" t="s">
        <v>562</v>
      </c>
      <c r="AR61" s="659" t="s">
        <v>587</v>
      </c>
      <c r="AS61" s="659" t="s">
        <v>562</v>
      </c>
      <c r="AT61" s="659" t="s">
        <v>562</v>
      </c>
      <c r="AU61" s="666"/>
      <c r="AV61" s="659"/>
      <c r="AW61" s="805"/>
      <c r="AX61" s="1224">
        <f t="shared" si="86"/>
        <v>0.4</v>
      </c>
      <c r="AY61" s="1225">
        <f t="shared" si="87"/>
        <v>4</v>
      </c>
      <c r="AZ61" s="958">
        <f t="shared" si="88"/>
        <v>0</v>
      </c>
      <c r="BA61" s="958">
        <f t="shared" si="89"/>
        <v>2</v>
      </c>
      <c r="BB61" s="651"/>
      <c r="BC61" s="683"/>
      <c r="BD61" s="651"/>
      <c r="BE61" s="659" t="s">
        <v>562</v>
      </c>
      <c r="BF61" s="666" t="s">
        <v>562</v>
      </c>
      <c r="BI61" s="1543"/>
      <c r="BJ61" s="1545"/>
      <c r="BK61" s="490"/>
      <c r="BL61" s="569"/>
      <c r="BM61" s="1277"/>
    </row>
    <row r="62" spans="1:65" s="966" customFormat="1" ht="12.75">
      <c r="A62" s="1536"/>
      <c r="B62" s="1538"/>
      <c r="C62" s="423" t="s">
        <v>862</v>
      </c>
      <c r="D62" s="1207">
        <f t="shared" si="73"/>
        <v>25</v>
      </c>
      <c r="E62" s="1207">
        <f t="shared" si="74"/>
        <v>3</v>
      </c>
      <c r="F62" s="1207">
        <f t="shared" si="75"/>
        <v>22</v>
      </c>
      <c r="G62" s="1272">
        <f t="shared" si="76"/>
        <v>3</v>
      </c>
      <c r="H62" s="1272">
        <f t="shared" si="76"/>
        <v>11</v>
      </c>
      <c r="I62" s="1224">
        <f t="shared" si="77"/>
        <v>0.375</v>
      </c>
      <c r="J62" s="1225">
        <f t="shared" si="78"/>
        <v>3</v>
      </c>
      <c r="K62" s="958">
        <f t="shared" si="79"/>
        <v>1</v>
      </c>
      <c r="L62" s="1273">
        <f t="shared" si="80"/>
        <v>1</v>
      </c>
      <c r="M62" s="683"/>
      <c r="N62" s="683" t="s">
        <v>587</v>
      </c>
      <c r="O62" s="683" t="s">
        <v>562</v>
      </c>
      <c r="P62" s="666"/>
      <c r="Q62" s="1224">
        <f t="shared" si="81"/>
        <v>0.8125</v>
      </c>
      <c r="R62" s="1225">
        <f t="shared" si="82"/>
        <v>13</v>
      </c>
      <c r="S62" s="963">
        <f t="shared" si="90"/>
        <v>1</v>
      </c>
      <c r="T62" s="958">
        <f t="shared" si="91"/>
        <v>6</v>
      </c>
      <c r="U62" s="683" t="s">
        <v>562</v>
      </c>
      <c r="V62" s="651" t="s">
        <v>562</v>
      </c>
      <c r="W62" s="683" t="s">
        <v>562</v>
      </c>
      <c r="X62" s="683"/>
      <c r="Y62" s="651" t="s">
        <v>562</v>
      </c>
      <c r="Z62" s="683" t="s">
        <v>587</v>
      </c>
      <c r="AA62" s="1274" t="s">
        <v>562</v>
      </c>
      <c r="AB62" s="683" t="s">
        <v>562</v>
      </c>
      <c r="AC62" s="1244"/>
      <c r="AD62" s="1244"/>
      <c r="AE62" s="958">
        <f t="shared" si="92"/>
        <v>0</v>
      </c>
      <c r="AF62" s="958">
        <f t="shared" si="93"/>
        <v>0</v>
      </c>
      <c r="AG62" s="1540"/>
      <c r="AH62" s="1541"/>
      <c r="AI62" s="659"/>
      <c r="AJ62" s="805"/>
      <c r="AK62" s="1275"/>
      <c r="AL62" s="1276"/>
      <c r="AM62" s="1224">
        <f t="shared" si="83"/>
        <v>0.35714285714285715</v>
      </c>
      <c r="AN62" s="1225">
        <f t="shared" si="61"/>
        <v>5</v>
      </c>
      <c r="AO62" s="958">
        <f t="shared" si="84"/>
        <v>1</v>
      </c>
      <c r="AP62" s="958">
        <f t="shared" si="85"/>
        <v>2</v>
      </c>
      <c r="AQ62" s="659" t="s">
        <v>562</v>
      </c>
      <c r="AR62" s="659" t="s">
        <v>587</v>
      </c>
      <c r="AS62" s="659" t="s">
        <v>562</v>
      </c>
      <c r="AT62" s="659"/>
      <c r="AU62" s="666"/>
      <c r="AV62" s="659"/>
      <c r="AW62" s="805"/>
      <c r="AX62" s="1224">
        <f t="shared" si="86"/>
        <v>0.4</v>
      </c>
      <c r="AY62" s="1225">
        <f t="shared" si="87"/>
        <v>4</v>
      </c>
      <c r="AZ62" s="958">
        <f t="shared" si="88"/>
        <v>0</v>
      </c>
      <c r="BA62" s="958">
        <f t="shared" si="89"/>
        <v>2</v>
      </c>
      <c r="BB62" s="651"/>
      <c r="BC62" s="683"/>
      <c r="BD62" s="651"/>
      <c r="BE62" s="659" t="s">
        <v>562</v>
      </c>
      <c r="BF62" s="666" t="s">
        <v>562</v>
      </c>
      <c r="BI62" s="1543"/>
      <c r="BJ62" s="1545"/>
      <c r="BK62" s="490"/>
      <c r="BL62" s="569"/>
      <c r="BM62" s="1277"/>
    </row>
    <row r="63" spans="1:65" s="966" customFormat="1" ht="12.75">
      <c r="A63" s="1536"/>
      <c r="B63" s="1538"/>
      <c r="C63" s="423" t="s">
        <v>863</v>
      </c>
      <c r="D63" s="1207">
        <f t="shared" si="73"/>
        <v>26</v>
      </c>
      <c r="E63" s="1207">
        <f t="shared" si="74"/>
        <v>4</v>
      </c>
      <c r="F63" s="1207">
        <f t="shared" si="75"/>
        <v>22</v>
      </c>
      <c r="G63" s="1272">
        <f t="shared" si="76"/>
        <v>4</v>
      </c>
      <c r="H63" s="1272">
        <f t="shared" si="76"/>
        <v>11</v>
      </c>
      <c r="I63" s="1224">
        <f t="shared" si="77"/>
        <v>0.5</v>
      </c>
      <c r="J63" s="1225">
        <f t="shared" si="78"/>
        <v>4</v>
      </c>
      <c r="K63" s="958">
        <f t="shared" si="79"/>
        <v>2</v>
      </c>
      <c r="L63" s="1273">
        <f t="shared" si="80"/>
        <v>1</v>
      </c>
      <c r="M63" s="683" t="s">
        <v>587</v>
      </c>
      <c r="N63" s="683" t="s">
        <v>587</v>
      </c>
      <c r="O63" s="683" t="s">
        <v>562</v>
      </c>
      <c r="P63" s="666"/>
      <c r="Q63" s="1224">
        <f t="shared" si="81"/>
        <v>0.8125</v>
      </c>
      <c r="R63" s="1225">
        <f t="shared" si="82"/>
        <v>13</v>
      </c>
      <c r="S63" s="963">
        <f t="shared" si="90"/>
        <v>1</v>
      </c>
      <c r="T63" s="958">
        <f t="shared" si="91"/>
        <v>6</v>
      </c>
      <c r="U63" s="683" t="s">
        <v>562</v>
      </c>
      <c r="V63" s="651" t="s">
        <v>562</v>
      </c>
      <c r="W63" s="683" t="s">
        <v>562</v>
      </c>
      <c r="X63" s="683"/>
      <c r="Y63" s="651" t="s">
        <v>562</v>
      </c>
      <c r="Z63" s="683" t="s">
        <v>587</v>
      </c>
      <c r="AA63" s="1274" t="s">
        <v>562</v>
      </c>
      <c r="AB63" s="683" t="s">
        <v>562</v>
      </c>
      <c r="AC63" s="1244"/>
      <c r="AD63" s="1244"/>
      <c r="AE63" s="958">
        <f t="shared" si="92"/>
        <v>0</v>
      </c>
      <c r="AF63" s="958">
        <f t="shared" si="93"/>
        <v>0</v>
      </c>
      <c r="AG63" s="1540"/>
      <c r="AH63" s="1541"/>
      <c r="AI63" s="659"/>
      <c r="AJ63" s="805"/>
      <c r="AK63" s="1275"/>
      <c r="AL63" s="1276"/>
      <c r="AM63" s="1224">
        <f t="shared" si="83"/>
        <v>0.35714285714285715</v>
      </c>
      <c r="AN63" s="1225">
        <f t="shared" si="61"/>
        <v>5</v>
      </c>
      <c r="AO63" s="958">
        <f t="shared" si="84"/>
        <v>1</v>
      </c>
      <c r="AP63" s="958">
        <f t="shared" si="85"/>
        <v>2</v>
      </c>
      <c r="AQ63" s="659" t="s">
        <v>562</v>
      </c>
      <c r="AR63" s="659" t="s">
        <v>587</v>
      </c>
      <c r="AS63" s="659" t="s">
        <v>562</v>
      </c>
      <c r="AT63" s="659"/>
      <c r="AU63" s="666"/>
      <c r="AV63" s="659"/>
      <c r="AW63" s="805"/>
      <c r="AX63" s="1224">
        <f t="shared" si="86"/>
        <v>0.4</v>
      </c>
      <c r="AY63" s="1225">
        <f t="shared" si="87"/>
        <v>4</v>
      </c>
      <c r="AZ63" s="958">
        <f t="shared" si="88"/>
        <v>0</v>
      </c>
      <c r="BA63" s="958">
        <f t="shared" si="89"/>
        <v>2</v>
      </c>
      <c r="BB63" s="651"/>
      <c r="BC63" s="683"/>
      <c r="BD63" s="651"/>
      <c r="BE63" s="659" t="s">
        <v>562</v>
      </c>
      <c r="BF63" s="666" t="s">
        <v>562</v>
      </c>
      <c r="BI63" s="1543"/>
      <c r="BJ63" s="1545"/>
      <c r="BK63" s="490"/>
      <c r="BL63" s="569"/>
      <c r="BM63" s="1277"/>
    </row>
    <row r="64" spans="1:65" s="966" customFormat="1" ht="12.75">
      <c r="A64" s="1536"/>
      <c r="B64" s="1539"/>
      <c r="C64" s="423" t="s">
        <v>864</v>
      </c>
      <c r="D64" s="1207">
        <f t="shared" si="73"/>
        <v>27</v>
      </c>
      <c r="E64" s="1207">
        <f t="shared" si="74"/>
        <v>3</v>
      </c>
      <c r="F64" s="1207">
        <f t="shared" si="75"/>
        <v>24</v>
      </c>
      <c r="G64" s="1272">
        <f t="shared" si="76"/>
        <v>3</v>
      </c>
      <c r="H64" s="1272">
        <f t="shared" si="76"/>
        <v>12</v>
      </c>
      <c r="I64" s="1224">
        <f t="shared" si="77"/>
        <v>0.375</v>
      </c>
      <c r="J64" s="1225">
        <f t="shared" si="78"/>
        <v>3</v>
      </c>
      <c r="K64" s="958">
        <f t="shared" si="79"/>
        <v>1</v>
      </c>
      <c r="L64" s="1273">
        <f t="shared" si="80"/>
        <v>1</v>
      </c>
      <c r="M64" s="683"/>
      <c r="N64" s="683" t="s">
        <v>587</v>
      </c>
      <c r="O64" s="683" t="s">
        <v>562</v>
      </c>
      <c r="P64" s="666"/>
      <c r="Q64" s="1224">
        <f t="shared" si="81"/>
        <v>0.8125</v>
      </c>
      <c r="R64" s="1225">
        <f t="shared" si="82"/>
        <v>13</v>
      </c>
      <c r="S64" s="963">
        <f t="shared" si="90"/>
        <v>1</v>
      </c>
      <c r="T64" s="958">
        <f t="shared" si="91"/>
        <v>6</v>
      </c>
      <c r="U64" s="683" t="s">
        <v>562</v>
      </c>
      <c r="V64" s="651" t="s">
        <v>562</v>
      </c>
      <c r="W64" s="683" t="s">
        <v>562</v>
      </c>
      <c r="X64" s="683"/>
      <c r="Y64" s="651" t="s">
        <v>562</v>
      </c>
      <c r="Z64" s="683" t="s">
        <v>587</v>
      </c>
      <c r="AA64" s="1274" t="s">
        <v>562</v>
      </c>
      <c r="AB64" s="683" t="s">
        <v>562</v>
      </c>
      <c r="AC64" s="1244"/>
      <c r="AD64" s="1244"/>
      <c r="AE64" s="958">
        <f t="shared" si="92"/>
        <v>0</v>
      </c>
      <c r="AF64" s="958">
        <f t="shared" si="93"/>
        <v>0</v>
      </c>
      <c r="AG64" s="1540"/>
      <c r="AH64" s="1541"/>
      <c r="AI64" s="659"/>
      <c r="AJ64" s="805"/>
      <c r="AK64" s="1275"/>
      <c r="AL64" s="1276"/>
      <c r="AM64" s="1224">
        <f t="shared" si="83"/>
        <v>0.5</v>
      </c>
      <c r="AN64" s="1225">
        <f t="shared" si="61"/>
        <v>7</v>
      </c>
      <c r="AO64" s="958">
        <f t="shared" si="84"/>
        <v>1</v>
      </c>
      <c r="AP64" s="958">
        <f t="shared" si="85"/>
        <v>3</v>
      </c>
      <c r="AQ64" s="659" t="s">
        <v>562</v>
      </c>
      <c r="AR64" s="659" t="s">
        <v>587</v>
      </c>
      <c r="AS64" s="659" t="s">
        <v>562</v>
      </c>
      <c r="AT64" s="659" t="s">
        <v>562</v>
      </c>
      <c r="AU64" s="805"/>
      <c r="AV64" s="659"/>
      <c r="AW64" s="805"/>
      <c r="AX64" s="1224">
        <f t="shared" si="86"/>
        <v>0.4</v>
      </c>
      <c r="AY64" s="1225">
        <f t="shared" si="87"/>
        <v>4</v>
      </c>
      <c r="AZ64" s="958">
        <f t="shared" si="88"/>
        <v>0</v>
      </c>
      <c r="BA64" s="958">
        <f t="shared" si="89"/>
        <v>2</v>
      </c>
      <c r="BB64" s="651"/>
      <c r="BC64" s="683"/>
      <c r="BD64" s="651"/>
      <c r="BE64" s="659" t="s">
        <v>562</v>
      </c>
      <c r="BF64" s="666" t="s">
        <v>562</v>
      </c>
      <c r="BI64" s="1544"/>
      <c r="BJ64" s="1524"/>
      <c r="BK64" s="490"/>
      <c r="BL64" s="569"/>
      <c r="BM64" s="1277"/>
    </row>
    <row r="65" spans="1:65" s="966" customFormat="1" ht="12.75">
      <c r="A65" s="1536"/>
      <c r="B65" s="1522" t="s">
        <v>1021</v>
      </c>
      <c r="C65" s="423" t="s">
        <v>985</v>
      </c>
      <c r="D65" s="1207">
        <f t="shared" si="73"/>
        <v>26</v>
      </c>
      <c r="E65" s="1207">
        <f t="shared" si="74"/>
        <v>4</v>
      </c>
      <c r="F65" s="1207">
        <f t="shared" si="75"/>
        <v>22</v>
      </c>
      <c r="G65" s="1272">
        <f t="shared" si="76"/>
        <v>4</v>
      </c>
      <c r="H65" s="1272">
        <f t="shared" si="76"/>
        <v>11</v>
      </c>
      <c r="I65" s="1224">
        <f t="shared" si="77"/>
        <v>0.25</v>
      </c>
      <c r="J65" s="1225">
        <f t="shared" si="78"/>
        <v>2</v>
      </c>
      <c r="K65" s="958">
        <f t="shared" si="79"/>
        <v>0</v>
      </c>
      <c r="L65" s="1273">
        <f t="shared" si="80"/>
        <v>1</v>
      </c>
      <c r="M65" s="683"/>
      <c r="N65" s="683"/>
      <c r="O65" s="683" t="s">
        <v>562</v>
      </c>
      <c r="P65" s="666"/>
      <c r="Q65" s="1224">
        <f t="shared" si="81"/>
        <v>0.8125</v>
      </c>
      <c r="R65" s="1225">
        <f t="shared" si="82"/>
        <v>13</v>
      </c>
      <c r="S65" s="963">
        <f t="shared" si="90"/>
        <v>1</v>
      </c>
      <c r="T65" s="958">
        <f t="shared" si="91"/>
        <v>6</v>
      </c>
      <c r="U65" s="683" t="s">
        <v>562</v>
      </c>
      <c r="V65" s="651" t="s">
        <v>562</v>
      </c>
      <c r="W65" s="683" t="s">
        <v>562</v>
      </c>
      <c r="X65" s="683"/>
      <c r="Y65" s="651" t="s">
        <v>562</v>
      </c>
      <c r="Z65" s="683" t="s">
        <v>587</v>
      </c>
      <c r="AA65" s="1274" t="s">
        <v>562</v>
      </c>
      <c r="AB65" s="683" t="s">
        <v>562</v>
      </c>
      <c r="AC65" s="1244"/>
      <c r="AD65" s="1244"/>
      <c r="AE65" s="958">
        <f t="shared" si="92"/>
        <v>0</v>
      </c>
      <c r="AF65" s="958">
        <f t="shared" si="93"/>
        <v>0</v>
      </c>
      <c r="AG65" s="683"/>
      <c r="AH65" s="659"/>
      <c r="AI65" s="659"/>
      <c r="AJ65" s="805"/>
      <c r="AK65" s="1275"/>
      <c r="AL65" s="1276"/>
      <c r="AM65" s="1224">
        <f t="shared" si="83"/>
        <v>0.42857142857142855</v>
      </c>
      <c r="AN65" s="1225">
        <f t="shared" si="61"/>
        <v>6</v>
      </c>
      <c r="AO65" s="958">
        <f t="shared" si="84"/>
        <v>2</v>
      </c>
      <c r="AP65" s="958">
        <f t="shared" si="85"/>
        <v>2</v>
      </c>
      <c r="AQ65" s="659" t="s">
        <v>562</v>
      </c>
      <c r="AR65" s="659" t="s">
        <v>587</v>
      </c>
      <c r="AS65" s="659" t="s">
        <v>587</v>
      </c>
      <c r="AT65" s="659" t="s">
        <v>562</v>
      </c>
      <c r="AU65" s="805"/>
      <c r="AV65" s="659"/>
      <c r="AW65" s="805"/>
      <c r="AX65" s="1224">
        <f t="shared" si="86"/>
        <v>0.5</v>
      </c>
      <c r="AY65" s="1225">
        <f t="shared" si="87"/>
        <v>5</v>
      </c>
      <c r="AZ65" s="958">
        <f t="shared" si="88"/>
        <v>1</v>
      </c>
      <c r="BA65" s="958">
        <f t="shared" si="89"/>
        <v>2</v>
      </c>
      <c r="BB65" s="651"/>
      <c r="BC65" s="683"/>
      <c r="BD65" s="651" t="s">
        <v>587</v>
      </c>
      <c r="BE65" s="659" t="s">
        <v>562</v>
      </c>
      <c r="BF65" s="666" t="s">
        <v>562</v>
      </c>
      <c r="BI65" s="1542" t="s">
        <v>1234</v>
      </c>
      <c r="BJ65" s="1523" t="s">
        <v>1233</v>
      </c>
      <c r="BK65" s="490"/>
      <c r="BL65" s="569"/>
      <c r="BM65" s="1546" t="s">
        <v>1700</v>
      </c>
    </row>
    <row r="66" spans="1:65" s="966" customFormat="1" ht="12.75">
      <c r="A66" s="1536"/>
      <c r="B66" s="1522"/>
      <c r="C66" s="423" t="s">
        <v>861</v>
      </c>
      <c r="D66" s="1207">
        <f t="shared" si="73"/>
        <v>26</v>
      </c>
      <c r="E66" s="1207">
        <f t="shared" si="74"/>
        <v>4</v>
      </c>
      <c r="F66" s="1207">
        <f t="shared" si="75"/>
        <v>22</v>
      </c>
      <c r="G66" s="1272">
        <f t="shared" si="76"/>
        <v>4</v>
      </c>
      <c r="H66" s="1272">
        <f t="shared" si="76"/>
        <v>11</v>
      </c>
      <c r="I66" s="1224">
        <f t="shared" si="77"/>
        <v>0.25</v>
      </c>
      <c r="J66" s="1225">
        <f t="shared" si="78"/>
        <v>2</v>
      </c>
      <c r="K66" s="958">
        <f t="shared" si="79"/>
        <v>0</v>
      </c>
      <c r="L66" s="1273">
        <f t="shared" si="80"/>
        <v>1</v>
      </c>
      <c r="M66" s="683"/>
      <c r="N66" s="683"/>
      <c r="O66" s="683" t="s">
        <v>562</v>
      </c>
      <c r="P66" s="666"/>
      <c r="Q66" s="1224">
        <f t="shared" si="81"/>
        <v>0.8125</v>
      </c>
      <c r="R66" s="1225">
        <f t="shared" si="82"/>
        <v>13</v>
      </c>
      <c r="S66" s="963">
        <f t="shared" si="90"/>
        <v>1</v>
      </c>
      <c r="T66" s="958">
        <f t="shared" si="91"/>
        <v>6</v>
      </c>
      <c r="U66" s="683" t="s">
        <v>562</v>
      </c>
      <c r="V66" s="651" t="s">
        <v>562</v>
      </c>
      <c r="W66" s="683" t="s">
        <v>562</v>
      </c>
      <c r="X66" s="683"/>
      <c r="Y66" s="651" t="s">
        <v>562</v>
      </c>
      <c r="Z66" s="683" t="s">
        <v>587</v>
      </c>
      <c r="AA66" s="1274" t="s">
        <v>562</v>
      </c>
      <c r="AB66" s="683" t="s">
        <v>562</v>
      </c>
      <c r="AC66" s="1244"/>
      <c r="AD66" s="1244"/>
      <c r="AE66" s="958">
        <f t="shared" si="92"/>
        <v>0</v>
      </c>
      <c r="AF66" s="958">
        <f t="shared" si="93"/>
        <v>0</v>
      </c>
      <c r="AG66" s="683"/>
      <c r="AH66" s="659"/>
      <c r="AI66" s="659"/>
      <c r="AJ66" s="805"/>
      <c r="AK66" s="1275"/>
      <c r="AL66" s="1276"/>
      <c r="AM66" s="1224">
        <f t="shared" si="83"/>
        <v>0.42857142857142855</v>
      </c>
      <c r="AN66" s="1225">
        <f t="shared" si="61"/>
        <v>6</v>
      </c>
      <c r="AO66" s="958">
        <f t="shared" si="84"/>
        <v>2</v>
      </c>
      <c r="AP66" s="958">
        <f t="shared" si="85"/>
        <v>2</v>
      </c>
      <c r="AQ66" s="659" t="s">
        <v>562</v>
      </c>
      <c r="AR66" s="659" t="s">
        <v>587</v>
      </c>
      <c r="AS66" s="659" t="s">
        <v>587</v>
      </c>
      <c r="AT66" s="659" t="s">
        <v>562</v>
      </c>
      <c r="AU66" s="805"/>
      <c r="AV66" s="659"/>
      <c r="AW66" s="805"/>
      <c r="AX66" s="1224">
        <f t="shared" si="86"/>
        <v>0.5</v>
      </c>
      <c r="AY66" s="1225">
        <f t="shared" si="87"/>
        <v>5</v>
      </c>
      <c r="AZ66" s="958">
        <f t="shared" si="88"/>
        <v>1</v>
      </c>
      <c r="BA66" s="958">
        <f t="shared" si="89"/>
        <v>2</v>
      </c>
      <c r="BB66" s="651"/>
      <c r="BC66" s="683"/>
      <c r="BD66" s="651" t="s">
        <v>587</v>
      </c>
      <c r="BE66" s="659" t="s">
        <v>562</v>
      </c>
      <c r="BF66" s="666" t="s">
        <v>562</v>
      </c>
      <c r="BI66" s="1543"/>
      <c r="BJ66" s="1545"/>
      <c r="BK66" s="490"/>
      <c r="BL66" s="569"/>
      <c r="BM66" s="1547"/>
    </row>
    <row r="67" spans="1:65" s="966" customFormat="1" ht="12.75">
      <c r="A67" s="1536"/>
      <c r="B67" s="1522"/>
      <c r="C67" s="423" t="s">
        <v>860</v>
      </c>
      <c r="D67" s="1207">
        <f t="shared" si="73"/>
        <v>26</v>
      </c>
      <c r="E67" s="1207">
        <f t="shared" si="74"/>
        <v>4</v>
      </c>
      <c r="F67" s="1207">
        <f t="shared" si="75"/>
        <v>22</v>
      </c>
      <c r="G67" s="1272">
        <f t="shared" si="76"/>
        <v>4</v>
      </c>
      <c r="H67" s="1272">
        <f t="shared" si="76"/>
        <v>11</v>
      </c>
      <c r="I67" s="1224">
        <f t="shared" si="77"/>
        <v>0.625</v>
      </c>
      <c r="J67" s="1225">
        <f t="shared" si="78"/>
        <v>5</v>
      </c>
      <c r="K67" s="958">
        <f t="shared" si="79"/>
        <v>1</v>
      </c>
      <c r="L67" s="1273">
        <f t="shared" si="80"/>
        <v>2</v>
      </c>
      <c r="M67" s="683" t="s">
        <v>587</v>
      </c>
      <c r="N67" s="683" t="s">
        <v>562</v>
      </c>
      <c r="O67" s="683" t="s">
        <v>562</v>
      </c>
      <c r="P67" s="666"/>
      <c r="Q67" s="1224">
        <f t="shared" si="81"/>
        <v>0.8125</v>
      </c>
      <c r="R67" s="1225">
        <f t="shared" si="82"/>
        <v>13</v>
      </c>
      <c r="S67" s="963">
        <f t="shared" si="90"/>
        <v>1</v>
      </c>
      <c r="T67" s="958">
        <f t="shared" si="91"/>
        <v>6</v>
      </c>
      <c r="U67" s="683" t="s">
        <v>562</v>
      </c>
      <c r="V67" s="651" t="s">
        <v>562</v>
      </c>
      <c r="W67" s="683" t="s">
        <v>562</v>
      </c>
      <c r="X67" s="683"/>
      <c r="Y67" s="651" t="s">
        <v>562</v>
      </c>
      <c r="Z67" s="683" t="s">
        <v>587</v>
      </c>
      <c r="AA67" s="1274" t="s">
        <v>562</v>
      </c>
      <c r="AB67" s="683" t="s">
        <v>562</v>
      </c>
      <c r="AC67" s="1244"/>
      <c r="AD67" s="1244"/>
      <c r="AE67" s="958">
        <f t="shared" si="92"/>
        <v>0</v>
      </c>
      <c r="AF67" s="958">
        <f t="shared" si="93"/>
        <v>0</v>
      </c>
      <c r="AG67" s="683"/>
      <c r="AH67" s="659"/>
      <c r="AI67" s="659"/>
      <c r="AJ67" s="805"/>
      <c r="AK67" s="1275"/>
      <c r="AL67" s="1276"/>
      <c r="AM67" s="1224">
        <f t="shared" si="83"/>
        <v>0.2857142857142857</v>
      </c>
      <c r="AN67" s="1225">
        <f t="shared" si="61"/>
        <v>4</v>
      </c>
      <c r="AO67" s="958">
        <f t="shared" si="84"/>
        <v>2</v>
      </c>
      <c r="AP67" s="958">
        <f t="shared" si="85"/>
        <v>1</v>
      </c>
      <c r="AQ67" s="659" t="s">
        <v>562</v>
      </c>
      <c r="AR67" s="659" t="s">
        <v>587</v>
      </c>
      <c r="AS67" s="659" t="s">
        <v>587</v>
      </c>
      <c r="AT67" s="659"/>
      <c r="AU67" s="805"/>
      <c r="AV67" s="659"/>
      <c r="AW67" s="805"/>
      <c r="AX67" s="1224">
        <f t="shared" si="86"/>
        <v>0.4</v>
      </c>
      <c r="AY67" s="1225">
        <f t="shared" si="87"/>
        <v>4</v>
      </c>
      <c r="AZ67" s="958">
        <f t="shared" si="88"/>
        <v>0</v>
      </c>
      <c r="BA67" s="958">
        <f t="shared" si="89"/>
        <v>2</v>
      </c>
      <c r="BB67" s="651"/>
      <c r="BC67" s="683"/>
      <c r="BD67" s="651"/>
      <c r="BE67" s="659" t="s">
        <v>562</v>
      </c>
      <c r="BF67" s="666" t="s">
        <v>562</v>
      </c>
      <c r="BI67" s="1543"/>
      <c r="BJ67" s="1545"/>
      <c r="BK67" s="490"/>
      <c r="BL67" s="569"/>
      <c r="BM67" s="1277"/>
    </row>
    <row r="68" spans="1:65" s="966" customFormat="1" ht="12.75">
      <c r="A68" s="1536"/>
      <c r="B68" s="1522"/>
      <c r="C68" s="423" t="s">
        <v>859</v>
      </c>
      <c r="D68" s="1207">
        <f t="shared" si="73"/>
        <v>26</v>
      </c>
      <c r="E68" s="1207">
        <f t="shared" si="74"/>
        <v>4</v>
      </c>
      <c r="F68" s="1207">
        <f t="shared" si="75"/>
        <v>22</v>
      </c>
      <c r="G68" s="1272">
        <f t="shared" si="76"/>
        <v>4</v>
      </c>
      <c r="H68" s="1272">
        <f t="shared" si="76"/>
        <v>11</v>
      </c>
      <c r="I68" s="1224">
        <f t="shared" si="77"/>
        <v>0.625</v>
      </c>
      <c r="J68" s="1225">
        <f t="shared" si="78"/>
        <v>5</v>
      </c>
      <c r="K68" s="958">
        <f t="shared" si="79"/>
        <v>1</v>
      </c>
      <c r="L68" s="1273">
        <f t="shared" si="80"/>
        <v>2</v>
      </c>
      <c r="M68" s="683" t="s">
        <v>562</v>
      </c>
      <c r="N68" s="683" t="s">
        <v>562</v>
      </c>
      <c r="O68" s="683" t="s">
        <v>587</v>
      </c>
      <c r="P68" s="666"/>
      <c r="Q68" s="1224">
        <f t="shared" si="81"/>
        <v>0.8125</v>
      </c>
      <c r="R68" s="1225">
        <f t="shared" si="82"/>
        <v>13</v>
      </c>
      <c r="S68" s="963">
        <f t="shared" si="90"/>
        <v>1</v>
      </c>
      <c r="T68" s="958">
        <f t="shared" si="91"/>
        <v>6</v>
      </c>
      <c r="U68" s="683" t="s">
        <v>562</v>
      </c>
      <c r="V68" s="651" t="s">
        <v>562</v>
      </c>
      <c r="W68" s="683" t="s">
        <v>562</v>
      </c>
      <c r="X68" s="683"/>
      <c r="Y68" s="651" t="s">
        <v>562</v>
      </c>
      <c r="Z68" s="683" t="s">
        <v>587</v>
      </c>
      <c r="AA68" s="1274" t="s">
        <v>562</v>
      </c>
      <c r="AB68" s="683" t="s">
        <v>562</v>
      </c>
      <c r="AC68" s="1244"/>
      <c r="AD68" s="1244"/>
      <c r="AE68" s="958">
        <f t="shared" si="92"/>
        <v>0</v>
      </c>
      <c r="AF68" s="958">
        <f t="shared" si="93"/>
        <v>0</v>
      </c>
      <c r="AG68" s="683"/>
      <c r="AH68" s="659"/>
      <c r="AI68" s="659"/>
      <c r="AJ68" s="805"/>
      <c r="AK68" s="1275"/>
      <c r="AL68" s="1276"/>
      <c r="AM68" s="1224">
        <f t="shared" si="83"/>
        <v>0.2857142857142857</v>
      </c>
      <c r="AN68" s="1225">
        <f t="shared" si="61"/>
        <v>4</v>
      </c>
      <c r="AO68" s="958">
        <f t="shared" si="84"/>
        <v>2</v>
      </c>
      <c r="AP68" s="958">
        <f t="shared" si="85"/>
        <v>1</v>
      </c>
      <c r="AQ68" s="659" t="s">
        <v>562</v>
      </c>
      <c r="AR68" s="659" t="s">
        <v>587</v>
      </c>
      <c r="AS68" s="659" t="s">
        <v>587</v>
      </c>
      <c r="AT68" s="659"/>
      <c r="AU68" s="805"/>
      <c r="AV68" s="659"/>
      <c r="AW68" s="805"/>
      <c r="AX68" s="1224">
        <f t="shared" si="86"/>
        <v>0.4</v>
      </c>
      <c r="AY68" s="1225">
        <f t="shared" si="87"/>
        <v>4</v>
      </c>
      <c r="AZ68" s="958">
        <f t="shared" si="88"/>
        <v>0</v>
      </c>
      <c r="BA68" s="958">
        <f t="shared" si="89"/>
        <v>2</v>
      </c>
      <c r="BB68" s="651"/>
      <c r="BC68" s="683"/>
      <c r="BD68" s="651"/>
      <c r="BE68" s="659" t="s">
        <v>562</v>
      </c>
      <c r="BF68" s="666" t="s">
        <v>562</v>
      </c>
      <c r="BI68" s="1543"/>
      <c r="BJ68" s="1545"/>
      <c r="BK68" s="490"/>
      <c r="BL68" s="569"/>
      <c r="BM68" s="1277"/>
    </row>
    <row r="69" spans="1:65" s="966" customFormat="1" ht="25.5">
      <c r="A69" s="1536"/>
      <c r="B69" s="1522"/>
      <c r="C69" s="423" t="s">
        <v>984</v>
      </c>
      <c r="D69" s="1207">
        <f t="shared" si="73"/>
        <v>23</v>
      </c>
      <c r="E69" s="1207">
        <f t="shared" si="74"/>
        <v>3</v>
      </c>
      <c r="F69" s="1207">
        <f t="shared" si="75"/>
        <v>20</v>
      </c>
      <c r="G69" s="1272">
        <f t="shared" si="76"/>
        <v>3</v>
      </c>
      <c r="H69" s="1272">
        <f t="shared" si="76"/>
        <v>10</v>
      </c>
      <c r="I69" s="1224">
        <f t="shared" si="77"/>
        <v>0.25</v>
      </c>
      <c r="J69" s="1225">
        <f t="shared" si="78"/>
        <v>2</v>
      </c>
      <c r="K69" s="958">
        <f t="shared" si="79"/>
        <v>0</v>
      </c>
      <c r="L69" s="1273">
        <f t="shared" si="80"/>
        <v>1</v>
      </c>
      <c r="M69" s="683"/>
      <c r="N69" s="683"/>
      <c r="O69" s="683" t="s">
        <v>562</v>
      </c>
      <c r="P69" s="666"/>
      <c r="Q69" s="1224">
        <f t="shared" si="81"/>
        <v>0.8125</v>
      </c>
      <c r="R69" s="1225">
        <f t="shared" si="82"/>
        <v>13</v>
      </c>
      <c r="S69" s="963">
        <f t="shared" si="90"/>
        <v>1</v>
      </c>
      <c r="T69" s="958">
        <f t="shared" si="91"/>
        <v>6</v>
      </c>
      <c r="U69" s="683" t="s">
        <v>562</v>
      </c>
      <c r="V69" s="651" t="s">
        <v>562</v>
      </c>
      <c r="W69" s="683" t="s">
        <v>562</v>
      </c>
      <c r="X69" s="683"/>
      <c r="Y69" s="651" t="s">
        <v>562</v>
      </c>
      <c r="Z69" s="683" t="s">
        <v>587</v>
      </c>
      <c r="AA69" s="1274" t="s">
        <v>562</v>
      </c>
      <c r="AB69" s="683" t="s">
        <v>562</v>
      </c>
      <c r="AC69" s="1244"/>
      <c r="AD69" s="1244"/>
      <c r="AE69" s="958">
        <f t="shared" si="92"/>
        <v>0</v>
      </c>
      <c r="AF69" s="958">
        <f t="shared" si="93"/>
        <v>0</v>
      </c>
      <c r="AG69" s="683"/>
      <c r="AH69" s="659"/>
      <c r="AI69" s="659"/>
      <c r="AJ69" s="805"/>
      <c r="AK69" s="1275"/>
      <c r="AL69" s="1276"/>
      <c r="AM69" s="1224">
        <f t="shared" si="83"/>
        <v>0.2857142857142857</v>
      </c>
      <c r="AN69" s="1225">
        <f t="shared" si="61"/>
        <v>4</v>
      </c>
      <c r="AO69" s="958">
        <f t="shared" si="84"/>
        <v>2</v>
      </c>
      <c r="AP69" s="958">
        <f t="shared" si="85"/>
        <v>1</v>
      </c>
      <c r="AQ69" s="659" t="s">
        <v>562</v>
      </c>
      <c r="AR69" s="659" t="s">
        <v>587</v>
      </c>
      <c r="AS69" s="659" t="s">
        <v>587</v>
      </c>
      <c r="AT69" s="659"/>
      <c r="AU69" s="805"/>
      <c r="AV69" s="659"/>
      <c r="AW69" s="805"/>
      <c r="AX69" s="1224">
        <f t="shared" si="86"/>
        <v>0.4</v>
      </c>
      <c r="AY69" s="1225">
        <f t="shared" si="87"/>
        <v>4</v>
      </c>
      <c r="AZ69" s="958">
        <f t="shared" si="88"/>
        <v>0</v>
      </c>
      <c r="BA69" s="958">
        <f t="shared" si="89"/>
        <v>2</v>
      </c>
      <c r="BB69" s="651"/>
      <c r="BC69" s="683"/>
      <c r="BD69" s="651"/>
      <c r="BE69" s="659" t="s">
        <v>562</v>
      </c>
      <c r="BF69" s="666" t="s">
        <v>562</v>
      </c>
      <c r="BI69" s="1543"/>
      <c r="BJ69" s="1545"/>
      <c r="BK69" s="490"/>
      <c r="BL69" s="569"/>
      <c r="BM69" s="1277"/>
    </row>
    <row r="70" spans="1:65" s="966" customFormat="1" ht="12.75">
      <c r="A70" s="1536"/>
      <c r="B70" s="1522"/>
      <c r="C70" s="423" t="s">
        <v>863</v>
      </c>
      <c r="D70" s="1207">
        <f t="shared" si="73"/>
        <v>23</v>
      </c>
      <c r="E70" s="1207">
        <f t="shared" si="74"/>
        <v>3</v>
      </c>
      <c r="F70" s="1207">
        <f t="shared" si="75"/>
        <v>20</v>
      </c>
      <c r="G70" s="1272">
        <f t="shared" si="76"/>
        <v>3</v>
      </c>
      <c r="H70" s="1272">
        <f t="shared" si="76"/>
        <v>10</v>
      </c>
      <c r="I70" s="1224">
        <f t="shared" si="77"/>
        <v>0.25</v>
      </c>
      <c r="J70" s="1225">
        <f t="shared" si="78"/>
        <v>2</v>
      </c>
      <c r="K70" s="958">
        <f t="shared" si="79"/>
        <v>0</v>
      </c>
      <c r="L70" s="1273">
        <f t="shared" si="80"/>
        <v>1</v>
      </c>
      <c r="M70" s="683"/>
      <c r="N70" s="683"/>
      <c r="O70" s="683" t="s">
        <v>562</v>
      </c>
      <c r="P70" s="666"/>
      <c r="Q70" s="1224">
        <f t="shared" si="81"/>
        <v>0.8125</v>
      </c>
      <c r="R70" s="1225">
        <f t="shared" si="82"/>
        <v>13</v>
      </c>
      <c r="S70" s="963">
        <f t="shared" si="90"/>
        <v>1</v>
      </c>
      <c r="T70" s="958">
        <f t="shared" si="91"/>
        <v>6</v>
      </c>
      <c r="U70" s="683" t="s">
        <v>562</v>
      </c>
      <c r="V70" s="651" t="s">
        <v>562</v>
      </c>
      <c r="W70" s="683" t="s">
        <v>562</v>
      </c>
      <c r="X70" s="683"/>
      <c r="Y70" s="651" t="s">
        <v>562</v>
      </c>
      <c r="Z70" s="683" t="s">
        <v>587</v>
      </c>
      <c r="AA70" s="1274" t="s">
        <v>562</v>
      </c>
      <c r="AB70" s="683" t="s">
        <v>562</v>
      </c>
      <c r="AC70" s="1244"/>
      <c r="AD70" s="1244"/>
      <c r="AE70" s="958">
        <f t="shared" si="92"/>
        <v>0</v>
      </c>
      <c r="AF70" s="958">
        <f t="shared" si="93"/>
        <v>0</v>
      </c>
      <c r="AG70" s="683"/>
      <c r="AH70" s="659"/>
      <c r="AI70" s="659"/>
      <c r="AJ70" s="805"/>
      <c r="AK70" s="1275"/>
      <c r="AL70" s="1276"/>
      <c r="AM70" s="1224">
        <f t="shared" si="83"/>
        <v>0.2857142857142857</v>
      </c>
      <c r="AN70" s="1225">
        <f t="shared" si="61"/>
        <v>4</v>
      </c>
      <c r="AO70" s="958">
        <f t="shared" si="84"/>
        <v>2</v>
      </c>
      <c r="AP70" s="958">
        <f t="shared" si="85"/>
        <v>1</v>
      </c>
      <c r="AQ70" s="659" t="s">
        <v>562</v>
      </c>
      <c r="AR70" s="659" t="s">
        <v>587</v>
      </c>
      <c r="AS70" s="659" t="s">
        <v>587</v>
      </c>
      <c r="AT70" s="659"/>
      <c r="AU70" s="805"/>
      <c r="AV70" s="659"/>
      <c r="AW70" s="805"/>
      <c r="AX70" s="1224">
        <f t="shared" si="86"/>
        <v>0.4</v>
      </c>
      <c r="AY70" s="1225">
        <f t="shared" si="87"/>
        <v>4</v>
      </c>
      <c r="AZ70" s="958">
        <f t="shared" si="88"/>
        <v>0</v>
      </c>
      <c r="BA70" s="958">
        <f t="shared" si="89"/>
        <v>2</v>
      </c>
      <c r="BB70" s="651"/>
      <c r="BC70" s="683"/>
      <c r="BD70" s="651"/>
      <c r="BE70" s="659" t="s">
        <v>562</v>
      </c>
      <c r="BF70" s="666" t="s">
        <v>562</v>
      </c>
      <c r="BI70" s="1543"/>
      <c r="BJ70" s="1545"/>
      <c r="BK70" s="490"/>
      <c r="BL70" s="569"/>
      <c r="BM70" s="1277"/>
    </row>
    <row r="71" spans="1:65" s="966" customFormat="1" ht="12.75">
      <c r="A71" s="1536"/>
      <c r="B71" s="1522"/>
      <c r="C71" s="423" t="s">
        <v>862</v>
      </c>
      <c r="D71" s="1207">
        <f t="shared" si="73"/>
        <v>24</v>
      </c>
      <c r="E71" s="1207">
        <f t="shared" si="74"/>
        <v>4</v>
      </c>
      <c r="F71" s="1207">
        <f t="shared" si="75"/>
        <v>20</v>
      </c>
      <c r="G71" s="1272">
        <f t="shared" si="76"/>
        <v>4</v>
      </c>
      <c r="H71" s="1272">
        <f t="shared" si="76"/>
        <v>10</v>
      </c>
      <c r="I71" s="1224">
        <f t="shared" si="77"/>
        <v>0.25</v>
      </c>
      <c r="J71" s="1225">
        <f t="shared" si="78"/>
        <v>2</v>
      </c>
      <c r="K71" s="958">
        <f t="shared" si="79"/>
        <v>0</v>
      </c>
      <c r="L71" s="1273">
        <f t="shared" si="80"/>
        <v>1</v>
      </c>
      <c r="M71" s="683"/>
      <c r="N71" s="683"/>
      <c r="O71" s="683" t="s">
        <v>562</v>
      </c>
      <c r="P71" s="666"/>
      <c r="Q71" s="1224">
        <f t="shared" si="81"/>
        <v>0.8125</v>
      </c>
      <c r="R71" s="1225">
        <f t="shared" si="82"/>
        <v>13</v>
      </c>
      <c r="S71" s="963">
        <f t="shared" si="90"/>
        <v>1</v>
      </c>
      <c r="T71" s="958">
        <f t="shared" si="91"/>
        <v>6</v>
      </c>
      <c r="U71" s="683" t="s">
        <v>562</v>
      </c>
      <c r="V71" s="651" t="s">
        <v>562</v>
      </c>
      <c r="W71" s="683" t="s">
        <v>562</v>
      </c>
      <c r="X71" s="683"/>
      <c r="Y71" s="651" t="s">
        <v>562</v>
      </c>
      <c r="Z71" s="683" t="s">
        <v>587</v>
      </c>
      <c r="AA71" s="1274" t="s">
        <v>562</v>
      </c>
      <c r="AB71" s="683" t="s">
        <v>562</v>
      </c>
      <c r="AC71" s="1244"/>
      <c r="AD71" s="1244"/>
      <c r="AE71" s="958">
        <f t="shared" si="92"/>
        <v>0</v>
      </c>
      <c r="AF71" s="958">
        <f t="shared" si="93"/>
        <v>0</v>
      </c>
      <c r="AG71" s="683"/>
      <c r="AH71" s="659"/>
      <c r="AI71" s="659"/>
      <c r="AJ71" s="805"/>
      <c r="AK71" s="1275"/>
      <c r="AL71" s="1276"/>
      <c r="AM71" s="1224">
        <f t="shared" si="83"/>
        <v>0.35714285714285715</v>
      </c>
      <c r="AN71" s="1225">
        <f t="shared" si="61"/>
        <v>5</v>
      </c>
      <c r="AO71" s="958">
        <f t="shared" si="84"/>
        <v>3</v>
      </c>
      <c r="AP71" s="958">
        <f t="shared" si="85"/>
        <v>1</v>
      </c>
      <c r="AQ71" s="659" t="s">
        <v>562</v>
      </c>
      <c r="AR71" s="659" t="s">
        <v>587</v>
      </c>
      <c r="AS71" s="659" t="s">
        <v>587</v>
      </c>
      <c r="AT71" s="659"/>
      <c r="AU71" s="805"/>
      <c r="AV71" s="659"/>
      <c r="AW71" s="805" t="s">
        <v>587</v>
      </c>
      <c r="AX71" s="1224">
        <f t="shared" si="86"/>
        <v>0.4</v>
      </c>
      <c r="AY71" s="1225">
        <f t="shared" si="87"/>
        <v>4</v>
      </c>
      <c r="AZ71" s="958">
        <f t="shared" si="88"/>
        <v>0</v>
      </c>
      <c r="BA71" s="958">
        <f t="shared" si="89"/>
        <v>2</v>
      </c>
      <c r="BB71" s="651"/>
      <c r="BC71" s="683"/>
      <c r="BD71" s="651"/>
      <c r="BE71" s="659" t="s">
        <v>562</v>
      </c>
      <c r="BF71" s="666" t="s">
        <v>562</v>
      </c>
      <c r="BI71" s="1544"/>
      <c r="BJ71" s="1524"/>
      <c r="BK71" s="490"/>
      <c r="BL71" s="569"/>
      <c r="BM71" s="1277"/>
    </row>
    <row r="72" spans="1:65" s="966" customFormat="1" ht="25.5">
      <c r="A72" s="1536"/>
      <c r="B72" s="1522" t="s">
        <v>1027</v>
      </c>
      <c r="C72" s="423" t="s">
        <v>1232</v>
      </c>
      <c r="D72" s="1207">
        <f t="shared" si="73"/>
        <v>21</v>
      </c>
      <c r="E72" s="1207">
        <f t="shared" si="74"/>
        <v>5</v>
      </c>
      <c r="F72" s="1207">
        <f t="shared" si="75"/>
        <v>16</v>
      </c>
      <c r="G72" s="1272">
        <f t="shared" si="76"/>
        <v>5</v>
      </c>
      <c r="H72" s="1272">
        <f t="shared" si="76"/>
        <v>8</v>
      </c>
      <c r="I72" s="1224">
        <f t="shared" si="77"/>
        <v>0.625</v>
      </c>
      <c r="J72" s="1225">
        <f t="shared" si="78"/>
        <v>5</v>
      </c>
      <c r="K72" s="958">
        <f t="shared" si="79"/>
        <v>1</v>
      </c>
      <c r="L72" s="1273">
        <f t="shared" si="80"/>
        <v>2</v>
      </c>
      <c r="M72" s="683" t="s">
        <v>562</v>
      </c>
      <c r="N72" s="683" t="s">
        <v>562</v>
      </c>
      <c r="O72" s="683" t="s">
        <v>587</v>
      </c>
      <c r="P72" s="666"/>
      <c r="Q72" s="1224">
        <f t="shared" si="81"/>
        <v>0.75</v>
      </c>
      <c r="R72" s="1225">
        <f t="shared" si="82"/>
        <v>12</v>
      </c>
      <c r="S72" s="963">
        <f t="shared" si="90"/>
        <v>2</v>
      </c>
      <c r="T72" s="958">
        <f t="shared" si="91"/>
        <v>5</v>
      </c>
      <c r="U72" s="683" t="s">
        <v>587</v>
      </c>
      <c r="V72" s="651" t="s">
        <v>587</v>
      </c>
      <c r="W72" s="683" t="s">
        <v>562</v>
      </c>
      <c r="X72" s="683"/>
      <c r="Y72" s="651" t="s">
        <v>562</v>
      </c>
      <c r="Z72" s="683" t="s">
        <v>562</v>
      </c>
      <c r="AA72" s="1274" t="s">
        <v>562</v>
      </c>
      <c r="AB72" s="683" t="s">
        <v>562</v>
      </c>
      <c r="AC72" s="1244"/>
      <c r="AD72" s="1244"/>
      <c r="AE72" s="958">
        <f t="shared" si="92"/>
        <v>0</v>
      </c>
      <c r="AF72" s="958">
        <f t="shared" si="93"/>
        <v>0</v>
      </c>
      <c r="AG72" s="683"/>
      <c r="AH72" s="659"/>
      <c r="AI72" s="659"/>
      <c r="AJ72" s="805"/>
      <c r="AK72" s="1275"/>
      <c r="AL72" s="1276"/>
      <c r="AM72" s="1224">
        <f t="shared" si="83"/>
        <v>7.1428571428571425E-2</v>
      </c>
      <c r="AN72" s="1225">
        <f t="shared" si="61"/>
        <v>1</v>
      </c>
      <c r="AO72" s="958">
        <f t="shared" si="84"/>
        <v>1</v>
      </c>
      <c r="AP72" s="958">
        <f t="shared" si="85"/>
        <v>0</v>
      </c>
      <c r="AQ72" s="659"/>
      <c r="AR72" s="659"/>
      <c r="AS72" s="659" t="s">
        <v>587</v>
      </c>
      <c r="AT72" s="659"/>
      <c r="AU72" s="805"/>
      <c r="AV72" s="659"/>
      <c r="AW72" s="805"/>
      <c r="AX72" s="1224">
        <f t="shared" si="86"/>
        <v>0.3</v>
      </c>
      <c r="AY72" s="1225">
        <f t="shared" si="87"/>
        <v>3</v>
      </c>
      <c r="AZ72" s="958">
        <f t="shared" si="88"/>
        <v>1</v>
      </c>
      <c r="BA72" s="958">
        <f t="shared" si="89"/>
        <v>1</v>
      </c>
      <c r="BB72" s="651"/>
      <c r="BC72" s="683"/>
      <c r="BD72" s="651"/>
      <c r="BE72" s="659" t="s">
        <v>587</v>
      </c>
      <c r="BF72" s="666" t="s">
        <v>562</v>
      </c>
      <c r="BI72" s="1542" t="s">
        <v>513</v>
      </c>
      <c r="BJ72" s="1548" t="s">
        <v>1407</v>
      </c>
      <c r="BK72" s="490"/>
      <c r="BL72" s="569"/>
      <c r="BM72" s="1277"/>
    </row>
    <row r="73" spans="1:65" s="966" customFormat="1" ht="25.5">
      <c r="A73" s="1536"/>
      <c r="B73" s="1522"/>
      <c r="C73" s="423" t="s">
        <v>1231</v>
      </c>
      <c r="D73" s="1207">
        <f t="shared" si="73"/>
        <v>17</v>
      </c>
      <c r="E73" s="1207">
        <f t="shared" si="74"/>
        <v>5</v>
      </c>
      <c r="F73" s="1207">
        <f t="shared" si="75"/>
        <v>12</v>
      </c>
      <c r="G73" s="1272">
        <f t="shared" si="76"/>
        <v>5</v>
      </c>
      <c r="H73" s="1272">
        <f t="shared" si="76"/>
        <v>6</v>
      </c>
      <c r="I73" s="1224">
        <f t="shared" si="77"/>
        <v>0.625</v>
      </c>
      <c r="J73" s="1225">
        <f t="shared" si="78"/>
        <v>5</v>
      </c>
      <c r="K73" s="958">
        <f t="shared" si="79"/>
        <v>1</v>
      </c>
      <c r="L73" s="1273">
        <f t="shared" si="80"/>
        <v>2</v>
      </c>
      <c r="M73" s="683" t="s">
        <v>562</v>
      </c>
      <c r="N73" s="683" t="s">
        <v>562</v>
      </c>
      <c r="O73" s="683" t="s">
        <v>587</v>
      </c>
      <c r="P73" s="666"/>
      <c r="Q73" s="1224">
        <f t="shared" si="81"/>
        <v>0.5</v>
      </c>
      <c r="R73" s="1225">
        <f t="shared" si="82"/>
        <v>8</v>
      </c>
      <c r="S73" s="963">
        <f t="shared" si="90"/>
        <v>2</v>
      </c>
      <c r="T73" s="958">
        <f t="shared" si="91"/>
        <v>3</v>
      </c>
      <c r="U73" s="683"/>
      <c r="V73" s="651"/>
      <c r="W73" s="683" t="s">
        <v>562</v>
      </c>
      <c r="X73" s="683"/>
      <c r="Y73" s="651" t="s">
        <v>562</v>
      </c>
      <c r="Z73" s="683" t="s">
        <v>587</v>
      </c>
      <c r="AA73" s="1274" t="s">
        <v>562</v>
      </c>
      <c r="AB73" s="683" t="s">
        <v>587</v>
      </c>
      <c r="AC73" s="1244"/>
      <c r="AD73" s="1244"/>
      <c r="AE73" s="958">
        <f t="shared" si="92"/>
        <v>0</v>
      </c>
      <c r="AF73" s="958">
        <f t="shared" si="93"/>
        <v>0</v>
      </c>
      <c r="AG73" s="683"/>
      <c r="AH73" s="659"/>
      <c r="AI73" s="659"/>
      <c r="AJ73" s="805"/>
      <c r="AK73" s="1275"/>
      <c r="AL73" s="1276"/>
      <c r="AM73" s="1224">
        <f t="shared" si="83"/>
        <v>7.1428571428571425E-2</v>
      </c>
      <c r="AN73" s="1225">
        <f t="shared" si="61"/>
        <v>1</v>
      </c>
      <c r="AO73" s="958">
        <f t="shared" si="84"/>
        <v>1</v>
      </c>
      <c r="AP73" s="958">
        <f t="shared" si="85"/>
        <v>0</v>
      </c>
      <c r="AQ73" s="659"/>
      <c r="AR73" s="659"/>
      <c r="AS73" s="659" t="s">
        <v>587</v>
      </c>
      <c r="AT73" s="659"/>
      <c r="AU73" s="805"/>
      <c r="AV73" s="659"/>
      <c r="AW73" s="805"/>
      <c r="AX73" s="1224">
        <f t="shared" si="86"/>
        <v>0.3</v>
      </c>
      <c r="AY73" s="1225">
        <f t="shared" si="87"/>
        <v>3</v>
      </c>
      <c r="AZ73" s="958">
        <f t="shared" si="88"/>
        <v>1</v>
      </c>
      <c r="BA73" s="958">
        <f t="shared" si="89"/>
        <v>1</v>
      </c>
      <c r="BB73" s="651"/>
      <c r="BC73" s="683"/>
      <c r="BD73" s="651"/>
      <c r="BE73" s="659" t="s">
        <v>587</v>
      </c>
      <c r="BF73" s="666" t="s">
        <v>562</v>
      </c>
      <c r="BI73" s="1544"/>
      <c r="BJ73" s="1548"/>
      <c r="BK73" s="490"/>
      <c r="BL73" s="569"/>
      <c r="BM73" s="1277"/>
    </row>
    <row r="74" spans="1:65" s="966" customFormat="1" ht="67.5">
      <c r="A74" s="1536"/>
      <c r="B74" s="1044" t="s">
        <v>1079</v>
      </c>
      <c r="C74" s="423" t="s">
        <v>1230</v>
      </c>
      <c r="D74" s="1207">
        <f t="shared" si="73"/>
        <v>26</v>
      </c>
      <c r="E74" s="1207">
        <f t="shared" si="74"/>
        <v>6</v>
      </c>
      <c r="F74" s="1207">
        <f t="shared" si="75"/>
        <v>20</v>
      </c>
      <c r="G74" s="1272">
        <f t="shared" si="76"/>
        <v>6</v>
      </c>
      <c r="H74" s="1272">
        <f t="shared" si="76"/>
        <v>10</v>
      </c>
      <c r="I74" s="1224">
        <f t="shared" si="77"/>
        <v>0.75</v>
      </c>
      <c r="J74" s="1225">
        <f t="shared" si="78"/>
        <v>6</v>
      </c>
      <c r="K74" s="958">
        <f t="shared" si="79"/>
        <v>0</v>
      </c>
      <c r="L74" s="1273">
        <f t="shared" si="80"/>
        <v>3</v>
      </c>
      <c r="M74" s="683" t="s">
        <v>562</v>
      </c>
      <c r="N74" s="683" t="s">
        <v>562</v>
      </c>
      <c r="O74" s="683" t="s">
        <v>562</v>
      </c>
      <c r="P74" s="666"/>
      <c r="Q74" s="1224">
        <f t="shared" si="81"/>
        <v>0.6875</v>
      </c>
      <c r="R74" s="1225">
        <f t="shared" si="82"/>
        <v>11</v>
      </c>
      <c r="S74" s="963">
        <f t="shared" si="90"/>
        <v>3</v>
      </c>
      <c r="T74" s="958">
        <f t="shared" si="91"/>
        <v>4</v>
      </c>
      <c r="U74" s="683" t="s">
        <v>562</v>
      </c>
      <c r="V74" s="651" t="s">
        <v>587</v>
      </c>
      <c r="W74" s="683" t="s">
        <v>562</v>
      </c>
      <c r="X74" s="683"/>
      <c r="Y74" s="651" t="s">
        <v>587</v>
      </c>
      <c r="Z74" s="683" t="s">
        <v>587</v>
      </c>
      <c r="AA74" s="1274" t="s">
        <v>562</v>
      </c>
      <c r="AB74" s="683" t="s">
        <v>562</v>
      </c>
      <c r="AC74" s="1244"/>
      <c r="AD74" s="1244"/>
      <c r="AE74" s="958">
        <f t="shared" si="92"/>
        <v>0</v>
      </c>
      <c r="AF74" s="958">
        <f t="shared" si="93"/>
        <v>0</v>
      </c>
      <c r="AG74" s="683"/>
      <c r="AH74" s="659"/>
      <c r="AI74" s="659"/>
      <c r="AJ74" s="805"/>
      <c r="AK74" s="1275"/>
      <c r="AL74" s="1276"/>
      <c r="AM74" s="1224">
        <f t="shared" si="83"/>
        <v>0.42857142857142855</v>
      </c>
      <c r="AN74" s="1225">
        <f t="shared" si="61"/>
        <v>6</v>
      </c>
      <c r="AO74" s="958">
        <f t="shared" si="84"/>
        <v>2</v>
      </c>
      <c r="AP74" s="958">
        <f t="shared" si="85"/>
        <v>2</v>
      </c>
      <c r="AQ74" s="659" t="s">
        <v>562</v>
      </c>
      <c r="AR74" s="659" t="s">
        <v>587</v>
      </c>
      <c r="AS74" s="659" t="s">
        <v>562</v>
      </c>
      <c r="AT74" s="659"/>
      <c r="AU74" s="805"/>
      <c r="AV74" s="659"/>
      <c r="AW74" s="805" t="s">
        <v>587</v>
      </c>
      <c r="AX74" s="1224">
        <f t="shared" si="86"/>
        <v>0.3</v>
      </c>
      <c r="AY74" s="1225">
        <f t="shared" si="87"/>
        <v>3</v>
      </c>
      <c r="AZ74" s="958">
        <f t="shared" si="88"/>
        <v>1</v>
      </c>
      <c r="BA74" s="958">
        <f t="shared" si="89"/>
        <v>1</v>
      </c>
      <c r="BB74" s="651"/>
      <c r="BC74" s="683"/>
      <c r="BD74" s="651"/>
      <c r="BE74" s="659" t="s">
        <v>587</v>
      </c>
      <c r="BF74" s="666" t="s">
        <v>562</v>
      </c>
      <c r="BI74" s="1278" t="s">
        <v>1229</v>
      </c>
      <c r="BJ74" s="1047" t="s">
        <v>1228</v>
      </c>
      <c r="BK74" s="490"/>
      <c r="BL74" s="569"/>
      <c r="BM74" s="1277"/>
    </row>
    <row r="75" spans="1:65" s="966" customFormat="1" ht="76.5">
      <c r="A75" s="1536"/>
      <c r="B75" s="1044" t="s">
        <v>1227</v>
      </c>
      <c r="C75" s="423" t="s">
        <v>1408</v>
      </c>
      <c r="D75" s="1207">
        <f t="shared" si="73"/>
        <v>25</v>
      </c>
      <c r="E75" s="1207">
        <f t="shared" si="74"/>
        <v>5</v>
      </c>
      <c r="F75" s="1207">
        <f t="shared" si="75"/>
        <v>20</v>
      </c>
      <c r="G75" s="1272">
        <f t="shared" si="76"/>
        <v>5</v>
      </c>
      <c r="H75" s="1272">
        <f t="shared" si="76"/>
        <v>10</v>
      </c>
      <c r="I75" s="1224">
        <f t="shared" si="77"/>
        <v>0.625</v>
      </c>
      <c r="J75" s="1225">
        <f t="shared" si="78"/>
        <v>5</v>
      </c>
      <c r="K75" s="958">
        <f t="shared" si="79"/>
        <v>1</v>
      </c>
      <c r="L75" s="1273">
        <f t="shared" si="80"/>
        <v>2</v>
      </c>
      <c r="M75" s="683" t="s">
        <v>562</v>
      </c>
      <c r="N75" s="683" t="s">
        <v>587</v>
      </c>
      <c r="O75" s="683" t="s">
        <v>562</v>
      </c>
      <c r="P75" s="666"/>
      <c r="Q75" s="1224">
        <f t="shared" si="81"/>
        <v>0.625</v>
      </c>
      <c r="R75" s="1225">
        <f t="shared" si="82"/>
        <v>10</v>
      </c>
      <c r="S75" s="963">
        <f t="shared" si="90"/>
        <v>2</v>
      </c>
      <c r="T75" s="958">
        <f t="shared" si="91"/>
        <v>4</v>
      </c>
      <c r="U75" s="683" t="s">
        <v>587</v>
      </c>
      <c r="V75" s="651" t="s">
        <v>587</v>
      </c>
      <c r="W75" s="683" t="s">
        <v>562</v>
      </c>
      <c r="X75" s="683"/>
      <c r="Y75" s="651"/>
      <c r="Z75" s="683" t="s">
        <v>562</v>
      </c>
      <c r="AA75" s="1274" t="s">
        <v>562</v>
      </c>
      <c r="AB75" s="683" t="s">
        <v>562</v>
      </c>
      <c r="AC75" s="1244"/>
      <c r="AD75" s="1244"/>
      <c r="AE75" s="958">
        <f t="shared" si="92"/>
        <v>0</v>
      </c>
      <c r="AF75" s="958">
        <f t="shared" si="93"/>
        <v>0</v>
      </c>
      <c r="AG75" s="683"/>
      <c r="AH75" s="659"/>
      <c r="AI75" s="659"/>
      <c r="AJ75" s="805"/>
      <c r="AK75" s="1275"/>
      <c r="AL75" s="1276"/>
      <c r="AM75" s="1224">
        <f t="shared" si="83"/>
        <v>0.5714285714285714</v>
      </c>
      <c r="AN75" s="1225">
        <f t="shared" si="61"/>
        <v>8</v>
      </c>
      <c r="AO75" s="958">
        <f t="shared" si="84"/>
        <v>0</v>
      </c>
      <c r="AP75" s="958">
        <f t="shared" si="85"/>
        <v>4</v>
      </c>
      <c r="AQ75" s="659" t="s">
        <v>562</v>
      </c>
      <c r="AR75" s="659" t="s">
        <v>562</v>
      </c>
      <c r="AS75" s="659" t="s">
        <v>562</v>
      </c>
      <c r="AT75" s="659" t="s">
        <v>562</v>
      </c>
      <c r="AU75" s="805"/>
      <c r="AV75" s="659"/>
      <c r="AW75" s="805"/>
      <c r="AX75" s="1224">
        <f t="shared" si="86"/>
        <v>0.2</v>
      </c>
      <c r="AY75" s="1225">
        <f t="shared" si="87"/>
        <v>2</v>
      </c>
      <c r="AZ75" s="958">
        <f t="shared" si="88"/>
        <v>2</v>
      </c>
      <c r="BA75" s="958">
        <f t="shared" si="89"/>
        <v>0</v>
      </c>
      <c r="BB75" s="651"/>
      <c r="BC75" s="683"/>
      <c r="BD75" s="651"/>
      <c r="BE75" s="659" t="s">
        <v>587</v>
      </c>
      <c r="BF75" s="666" t="s">
        <v>587</v>
      </c>
      <c r="BI75" s="1278" t="s">
        <v>1226</v>
      </c>
      <c r="BJ75" s="1047" t="s">
        <v>1409</v>
      </c>
      <c r="BK75" s="490"/>
      <c r="BL75" s="569"/>
      <c r="BM75" s="1277"/>
    </row>
    <row r="76" spans="1:65" s="966" customFormat="1" ht="25.5">
      <c r="A76" s="1536"/>
      <c r="B76" s="1522" t="s">
        <v>1025</v>
      </c>
      <c r="C76" s="423" t="s">
        <v>1410</v>
      </c>
      <c r="D76" s="1207">
        <f t="shared" si="73"/>
        <v>17</v>
      </c>
      <c r="E76" s="1207">
        <f t="shared" si="74"/>
        <v>5</v>
      </c>
      <c r="F76" s="1207">
        <f t="shared" si="75"/>
        <v>12</v>
      </c>
      <c r="G76" s="1272">
        <f t="shared" si="76"/>
        <v>5</v>
      </c>
      <c r="H76" s="1272">
        <f t="shared" si="76"/>
        <v>6</v>
      </c>
      <c r="I76" s="1224">
        <f t="shared" si="77"/>
        <v>0.5</v>
      </c>
      <c r="J76" s="1225">
        <f t="shared" si="78"/>
        <v>4</v>
      </c>
      <c r="K76" s="958">
        <f t="shared" si="79"/>
        <v>2</v>
      </c>
      <c r="L76" s="1273">
        <f t="shared" si="80"/>
        <v>1</v>
      </c>
      <c r="M76" s="683" t="s">
        <v>562</v>
      </c>
      <c r="N76" s="683" t="s">
        <v>587</v>
      </c>
      <c r="O76" s="683" t="s">
        <v>587</v>
      </c>
      <c r="P76" s="666"/>
      <c r="Q76" s="1224">
        <f t="shared" si="81"/>
        <v>0.5625</v>
      </c>
      <c r="R76" s="1225">
        <f t="shared" si="82"/>
        <v>9</v>
      </c>
      <c r="S76" s="963">
        <f t="shared" si="90"/>
        <v>1</v>
      </c>
      <c r="T76" s="958">
        <f t="shared" si="91"/>
        <v>4</v>
      </c>
      <c r="U76" s="683"/>
      <c r="V76" s="651"/>
      <c r="W76" s="683" t="s">
        <v>562</v>
      </c>
      <c r="X76" s="683"/>
      <c r="Y76" s="651" t="s">
        <v>562</v>
      </c>
      <c r="Z76" s="683" t="s">
        <v>562</v>
      </c>
      <c r="AA76" s="1274" t="s">
        <v>562</v>
      </c>
      <c r="AB76" s="683" t="s">
        <v>587</v>
      </c>
      <c r="AC76" s="1244"/>
      <c r="AD76" s="1244"/>
      <c r="AE76" s="958">
        <f t="shared" si="92"/>
        <v>0</v>
      </c>
      <c r="AF76" s="958">
        <f t="shared" si="93"/>
        <v>0</v>
      </c>
      <c r="AG76" s="683"/>
      <c r="AH76" s="659"/>
      <c r="AI76" s="659"/>
      <c r="AJ76" s="805"/>
      <c r="AK76" s="1275"/>
      <c r="AL76" s="1276"/>
      <c r="AM76" s="1224">
        <f t="shared" si="83"/>
        <v>7.1428571428571425E-2</v>
      </c>
      <c r="AN76" s="1225">
        <f t="shared" si="61"/>
        <v>1</v>
      </c>
      <c r="AO76" s="958">
        <f t="shared" si="84"/>
        <v>1</v>
      </c>
      <c r="AP76" s="958">
        <f t="shared" si="85"/>
        <v>0</v>
      </c>
      <c r="AQ76" s="659" t="s">
        <v>587</v>
      </c>
      <c r="AR76" s="659"/>
      <c r="AS76" s="659"/>
      <c r="AT76" s="659"/>
      <c r="AU76" s="805"/>
      <c r="AV76" s="659"/>
      <c r="AW76" s="805"/>
      <c r="AX76" s="1224">
        <f t="shared" si="86"/>
        <v>0.3</v>
      </c>
      <c r="AY76" s="1225">
        <f t="shared" si="87"/>
        <v>3</v>
      </c>
      <c r="AZ76" s="958">
        <f t="shared" si="88"/>
        <v>1</v>
      </c>
      <c r="BA76" s="958">
        <f t="shared" si="89"/>
        <v>1</v>
      </c>
      <c r="BB76" s="651"/>
      <c r="BC76" s="683"/>
      <c r="BD76" s="651"/>
      <c r="BE76" s="659" t="s">
        <v>587</v>
      </c>
      <c r="BF76" s="666" t="s">
        <v>562</v>
      </c>
      <c r="BI76" s="1278" t="s">
        <v>1225</v>
      </c>
      <c r="BJ76" s="1523" t="s">
        <v>1224</v>
      </c>
      <c r="BK76" s="490"/>
      <c r="BL76" s="569"/>
      <c r="BM76" s="1277"/>
    </row>
    <row r="77" spans="1:65" s="966" customFormat="1" ht="12.75">
      <c r="A77" s="1536"/>
      <c r="B77" s="1522"/>
      <c r="C77" s="423" t="s">
        <v>1013</v>
      </c>
      <c r="D77" s="1207">
        <f t="shared" si="73"/>
        <v>11</v>
      </c>
      <c r="E77" s="1207">
        <f t="shared" si="74"/>
        <v>5</v>
      </c>
      <c r="F77" s="1207">
        <f t="shared" si="75"/>
        <v>6</v>
      </c>
      <c r="G77" s="1272">
        <f t="shared" si="76"/>
        <v>5</v>
      </c>
      <c r="H77" s="1272">
        <f t="shared" si="76"/>
        <v>3</v>
      </c>
      <c r="I77" s="1224">
        <f t="shared" si="77"/>
        <v>0.125</v>
      </c>
      <c r="J77" s="1225">
        <f t="shared" si="78"/>
        <v>1</v>
      </c>
      <c r="K77" s="958">
        <f t="shared" si="79"/>
        <v>1</v>
      </c>
      <c r="L77" s="1273">
        <f t="shared" si="80"/>
        <v>0</v>
      </c>
      <c r="M77" s="683"/>
      <c r="N77" s="683"/>
      <c r="O77" s="683" t="s">
        <v>587</v>
      </c>
      <c r="P77" s="666"/>
      <c r="Q77" s="1224">
        <f t="shared" si="81"/>
        <v>0.4375</v>
      </c>
      <c r="R77" s="1225">
        <f t="shared" si="82"/>
        <v>7</v>
      </c>
      <c r="S77" s="963">
        <f t="shared" si="90"/>
        <v>1</v>
      </c>
      <c r="T77" s="958">
        <f t="shared" si="91"/>
        <v>3</v>
      </c>
      <c r="U77" s="683" t="s">
        <v>562</v>
      </c>
      <c r="V77" s="651"/>
      <c r="W77" s="683" t="s">
        <v>562</v>
      </c>
      <c r="X77" s="683"/>
      <c r="Y77" s="651"/>
      <c r="Z77" s="683" t="s">
        <v>562</v>
      </c>
      <c r="AA77" s="1274"/>
      <c r="AB77" s="683" t="s">
        <v>587</v>
      </c>
      <c r="AC77" s="1244"/>
      <c r="AD77" s="1244"/>
      <c r="AE77" s="958">
        <f t="shared" si="92"/>
        <v>0</v>
      </c>
      <c r="AF77" s="958">
        <f t="shared" si="93"/>
        <v>0</v>
      </c>
      <c r="AG77" s="683"/>
      <c r="AH77" s="659"/>
      <c r="AI77" s="659"/>
      <c r="AJ77" s="805"/>
      <c r="AK77" s="1275"/>
      <c r="AL77" s="1276"/>
      <c r="AM77" s="1224">
        <f t="shared" si="83"/>
        <v>7.1428571428571425E-2</v>
      </c>
      <c r="AN77" s="1225">
        <f t="shared" si="61"/>
        <v>1</v>
      </c>
      <c r="AO77" s="958">
        <f t="shared" si="84"/>
        <v>1</v>
      </c>
      <c r="AP77" s="958">
        <f t="shared" si="85"/>
        <v>0</v>
      </c>
      <c r="AQ77" s="659" t="s">
        <v>587</v>
      </c>
      <c r="AR77" s="659"/>
      <c r="AS77" s="659"/>
      <c r="AT77" s="659"/>
      <c r="AU77" s="805"/>
      <c r="AV77" s="659"/>
      <c r="AW77" s="805"/>
      <c r="AX77" s="1224">
        <f t="shared" si="86"/>
        <v>0.2</v>
      </c>
      <c r="AY77" s="1225">
        <f t="shared" si="87"/>
        <v>2</v>
      </c>
      <c r="AZ77" s="958">
        <f t="shared" si="88"/>
        <v>2</v>
      </c>
      <c r="BA77" s="958">
        <f t="shared" si="89"/>
        <v>0</v>
      </c>
      <c r="BB77" s="651"/>
      <c r="BC77" s="683"/>
      <c r="BD77" s="651"/>
      <c r="BE77" s="659" t="s">
        <v>587</v>
      </c>
      <c r="BF77" s="666" t="s">
        <v>587</v>
      </c>
      <c r="BI77" s="1278"/>
      <c r="BJ77" s="1524"/>
      <c r="BK77" s="490"/>
      <c r="BL77" s="569"/>
      <c r="BM77" s="1277" t="s">
        <v>1013</v>
      </c>
    </row>
    <row r="78" spans="1:65" s="966" customFormat="1" ht="25.5">
      <c r="A78" s="1536"/>
      <c r="B78" s="1044" t="s">
        <v>1223</v>
      </c>
      <c r="C78" s="423" t="s">
        <v>1222</v>
      </c>
      <c r="D78" s="1207">
        <f t="shared" si="73"/>
        <v>11</v>
      </c>
      <c r="E78" s="1207">
        <f t="shared" si="74"/>
        <v>3</v>
      </c>
      <c r="F78" s="1207">
        <f t="shared" si="75"/>
        <v>8</v>
      </c>
      <c r="G78" s="1272">
        <f t="shared" si="76"/>
        <v>3</v>
      </c>
      <c r="H78" s="1272">
        <f t="shared" si="76"/>
        <v>4</v>
      </c>
      <c r="I78" s="1224">
        <f t="shared" si="77"/>
        <v>0.375</v>
      </c>
      <c r="J78" s="1225">
        <f t="shared" si="78"/>
        <v>3</v>
      </c>
      <c r="K78" s="958">
        <f t="shared" si="79"/>
        <v>1</v>
      </c>
      <c r="L78" s="1273">
        <f t="shared" si="80"/>
        <v>1</v>
      </c>
      <c r="M78" s="683"/>
      <c r="N78" s="683" t="s">
        <v>587</v>
      </c>
      <c r="O78" s="683" t="s">
        <v>562</v>
      </c>
      <c r="P78" s="666"/>
      <c r="Q78" s="1224">
        <f t="shared" si="81"/>
        <v>0.1875</v>
      </c>
      <c r="R78" s="1225">
        <f t="shared" si="82"/>
        <v>3</v>
      </c>
      <c r="S78" s="963">
        <f t="shared" si="90"/>
        <v>1</v>
      </c>
      <c r="T78" s="958">
        <f t="shared" si="91"/>
        <v>1</v>
      </c>
      <c r="U78" s="683" t="s">
        <v>587</v>
      </c>
      <c r="V78" s="651"/>
      <c r="W78" s="683" t="s">
        <v>562</v>
      </c>
      <c r="X78" s="683"/>
      <c r="Y78" s="651"/>
      <c r="Z78" s="683"/>
      <c r="AA78" s="1274"/>
      <c r="AB78" s="683"/>
      <c r="AC78" s="1244"/>
      <c r="AD78" s="1244"/>
      <c r="AE78" s="958">
        <f t="shared" si="92"/>
        <v>0</v>
      </c>
      <c r="AF78" s="958">
        <f t="shared" si="93"/>
        <v>0</v>
      </c>
      <c r="AG78" s="683"/>
      <c r="AH78" s="659"/>
      <c r="AI78" s="659"/>
      <c r="AJ78" s="805"/>
      <c r="AK78" s="1275"/>
      <c r="AL78" s="1276"/>
      <c r="AM78" s="1224">
        <f t="shared" si="83"/>
        <v>7.1428571428571425E-2</v>
      </c>
      <c r="AN78" s="1225">
        <f t="shared" si="61"/>
        <v>1</v>
      </c>
      <c r="AO78" s="958">
        <f t="shared" si="84"/>
        <v>1</v>
      </c>
      <c r="AP78" s="958">
        <f t="shared" si="85"/>
        <v>0</v>
      </c>
      <c r="AQ78" s="659" t="s">
        <v>587</v>
      </c>
      <c r="AR78" s="659"/>
      <c r="AS78" s="659"/>
      <c r="AT78" s="659"/>
      <c r="AU78" s="805"/>
      <c r="AV78" s="659"/>
      <c r="AW78" s="805"/>
      <c r="AX78" s="1224">
        <f t="shared" si="86"/>
        <v>0.4</v>
      </c>
      <c r="AY78" s="1225">
        <f t="shared" si="87"/>
        <v>4</v>
      </c>
      <c r="AZ78" s="958">
        <f t="shared" si="88"/>
        <v>0</v>
      </c>
      <c r="BA78" s="958">
        <f t="shared" si="89"/>
        <v>2</v>
      </c>
      <c r="BB78" s="651"/>
      <c r="BC78" s="683"/>
      <c r="BD78" s="651"/>
      <c r="BE78" s="659" t="s">
        <v>562</v>
      </c>
      <c r="BF78" s="666" t="s">
        <v>562</v>
      </c>
      <c r="BI78" s="1278" t="s">
        <v>1221</v>
      </c>
      <c r="BJ78" s="1047" t="s">
        <v>1220</v>
      </c>
      <c r="BK78" s="490"/>
      <c r="BL78" s="569"/>
      <c r="BM78" s="1277"/>
    </row>
    <row r="79" spans="1:65" s="966" customFormat="1" ht="38.25">
      <c r="A79" s="1536"/>
      <c r="B79" s="1044" t="s">
        <v>1069</v>
      </c>
      <c r="C79" s="423" t="s">
        <v>1219</v>
      </c>
      <c r="D79" s="1207">
        <f t="shared" si="73"/>
        <v>13</v>
      </c>
      <c r="E79" s="1207">
        <f t="shared" si="74"/>
        <v>3</v>
      </c>
      <c r="F79" s="1207">
        <f t="shared" si="75"/>
        <v>10</v>
      </c>
      <c r="G79" s="1272">
        <f t="shared" si="76"/>
        <v>3</v>
      </c>
      <c r="H79" s="1272">
        <f t="shared" si="76"/>
        <v>5</v>
      </c>
      <c r="I79" s="1224">
        <f t="shared" si="77"/>
        <v>0.625</v>
      </c>
      <c r="J79" s="1225">
        <f t="shared" si="78"/>
        <v>5</v>
      </c>
      <c r="K79" s="958">
        <f t="shared" si="79"/>
        <v>1</v>
      </c>
      <c r="L79" s="1273">
        <f t="shared" si="80"/>
        <v>2</v>
      </c>
      <c r="M79" s="683" t="s">
        <v>562</v>
      </c>
      <c r="N79" s="683" t="s">
        <v>562</v>
      </c>
      <c r="O79" s="683" t="s">
        <v>587</v>
      </c>
      <c r="P79" s="666"/>
      <c r="Q79" s="1224">
        <f t="shared" si="81"/>
        <v>0.125</v>
      </c>
      <c r="R79" s="1225">
        <f t="shared" si="82"/>
        <v>2</v>
      </c>
      <c r="S79" s="963">
        <f t="shared" si="90"/>
        <v>2</v>
      </c>
      <c r="T79" s="958">
        <f t="shared" si="91"/>
        <v>0</v>
      </c>
      <c r="U79" s="683"/>
      <c r="V79" s="651"/>
      <c r="W79" s="683" t="s">
        <v>587</v>
      </c>
      <c r="X79" s="683"/>
      <c r="Y79" s="651"/>
      <c r="Z79" s="683"/>
      <c r="AA79" s="1274"/>
      <c r="AB79" s="683" t="s">
        <v>587</v>
      </c>
      <c r="AC79" s="1244"/>
      <c r="AD79" s="1244"/>
      <c r="AE79" s="958">
        <f t="shared" si="92"/>
        <v>0</v>
      </c>
      <c r="AF79" s="958">
        <f t="shared" si="93"/>
        <v>0</v>
      </c>
      <c r="AG79" s="683"/>
      <c r="AH79" s="659"/>
      <c r="AI79" s="659"/>
      <c r="AJ79" s="805"/>
      <c r="AK79" s="1275"/>
      <c r="AL79" s="1276"/>
      <c r="AM79" s="1224">
        <f t="shared" si="83"/>
        <v>0.14285714285714285</v>
      </c>
      <c r="AN79" s="1225">
        <f t="shared" si="61"/>
        <v>2</v>
      </c>
      <c r="AO79" s="958">
        <f t="shared" si="84"/>
        <v>0</v>
      </c>
      <c r="AP79" s="958">
        <f t="shared" si="85"/>
        <v>1</v>
      </c>
      <c r="AQ79" s="659" t="s">
        <v>562</v>
      </c>
      <c r="AR79" s="659"/>
      <c r="AS79" s="659"/>
      <c r="AT79" s="659"/>
      <c r="AU79" s="805"/>
      <c r="AV79" s="659"/>
      <c r="AW79" s="805"/>
      <c r="AX79" s="1224">
        <f t="shared" si="86"/>
        <v>0.4</v>
      </c>
      <c r="AY79" s="1225">
        <f t="shared" si="87"/>
        <v>4</v>
      </c>
      <c r="AZ79" s="958">
        <f t="shared" si="88"/>
        <v>0</v>
      </c>
      <c r="BA79" s="958">
        <f t="shared" si="89"/>
        <v>2</v>
      </c>
      <c r="BB79" s="651"/>
      <c r="BC79" s="683"/>
      <c r="BD79" s="651"/>
      <c r="BE79" s="659" t="s">
        <v>562</v>
      </c>
      <c r="BF79" s="666" t="s">
        <v>562</v>
      </c>
      <c r="BI79" s="1278"/>
      <c r="BJ79" s="1047" t="s">
        <v>1411</v>
      </c>
      <c r="BK79" s="490"/>
      <c r="BL79" s="569"/>
      <c r="BM79" s="1277"/>
    </row>
    <row r="80" spans="1:65" s="966" customFormat="1" ht="56.25">
      <c r="A80" s="1536"/>
      <c r="B80" s="1044" t="s">
        <v>986</v>
      </c>
      <c r="C80" s="423" t="s">
        <v>1218</v>
      </c>
      <c r="D80" s="1207">
        <f t="shared" si="73"/>
        <v>11</v>
      </c>
      <c r="E80" s="1207">
        <f t="shared" si="74"/>
        <v>1</v>
      </c>
      <c r="F80" s="1207">
        <f t="shared" si="75"/>
        <v>10</v>
      </c>
      <c r="G80" s="1272">
        <f t="shared" si="76"/>
        <v>1</v>
      </c>
      <c r="H80" s="1272">
        <f t="shared" si="76"/>
        <v>5</v>
      </c>
      <c r="I80" s="1224">
        <f t="shared" si="77"/>
        <v>0.375</v>
      </c>
      <c r="J80" s="1225">
        <f t="shared" si="78"/>
        <v>3</v>
      </c>
      <c r="K80" s="958">
        <f t="shared" si="79"/>
        <v>1</v>
      </c>
      <c r="L80" s="1273">
        <f t="shared" si="80"/>
        <v>1</v>
      </c>
      <c r="M80" s="683" t="s">
        <v>587</v>
      </c>
      <c r="N80" s="683"/>
      <c r="O80" s="683" t="s">
        <v>562</v>
      </c>
      <c r="P80" s="666"/>
      <c r="Q80" s="1224">
        <f t="shared" si="81"/>
        <v>0.25</v>
      </c>
      <c r="R80" s="1225">
        <f t="shared" si="82"/>
        <v>4</v>
      </c>
      <c r="S80" s="963">
        <f t="shared" si="90"/>
        <v>0</v>
      </c>
      <c r="T80" s="958">
        <f t="shared" si="91"/>
        <v>2</v>
      </c>
      <c r="U80" s="683"/>
      <c r="V80" s="651"/>
      <c r="W80" s="683" t="s">
        <v>562</v>
      </c>
      <c r="X80" s="683"/>
      <c r="Y80" s="651"/>
      <c r="Z80" s="683"/>
      <c r="AA80" s="1274"/>
      <c r="AB80" s="683" t="s">
        <v>562</v>
      </c>
      <c r="AC80" s="1244"/>
      <c r="AD80" s="1244"/>
      <c r="AE80" s="958">
        <f t="shared" si="92"/>
        <v>0</v>
      </c>
      <c r="AF80" s="958">
        <f t="shared" si="93"/>
        <v>0</v>
      </c>
      <c r="AG80" s="683"/>
      <c r="AH80" s="659"/>
      <c r="AI80" s="659"/>
      <c r="AJ80" s="805"/>
      <c r="AK80" s="1275"/>
      <c r="AL80" s="1276"/>
      <c r="AM80" s="1224">
        <f t="shared" si="83"/>
        <v>0</v>
      </c>
      <c r="AN80" s="1225">
        <f t="shared" si="61"/>
        <v>0</v>
      </c>
      <c r="AO80" s="958">
        <f t="shared" si="84"/>
        <v>0</v>
      </c>
      <c r="AP80" s="958">
        <f t="shared" si="85"/>
        <v>0</v>
      </c>
      <c r="AQ80" s="659"/>
      <c r="AR80" s="659"/>
      <c r="AS80" s="659"/>
      <c r="AT80" s="659"/>
      <c r="AU80" s="805"/>
      <c r="AV80" s="659"/>
      <c r="AW80" s="805"/>
      <c r="AX80" s="1224">
        <f t="shared" si="86"/>
        <v>0.4</v>
      </c>
      <c r="AY80" s="1225">
        <f t="shared" si="87"/>
        <v>4</v>
      </c>
      <c r="AZ80" s="958">
        <f t="shared" si="88"/>
        <v>0</v>
      </c>
      <c r="BA80" s="958">
        <f t="shared" si="89"/>
        <v>2</v>
      </c>
      <c r="BB80" s="651"/>
      <c r="BC80" s="683"/>
      <c r="BD80" s="651"/>
      <c r="BE80" s="659" t="s">
        <v>562</v>
      </c>
      <c r="BF80" s="666" t="s">
        <v>562</v>
      </c>
      <c r="BI80" s="1278"/>
      <c r="BJ80" s="1047" t="s">
        <v>1412</v>
      </c>
      <c r="BK80" s="490"/>
      <c r="BL80" s="569"/>
      <c r="BM80" s="1277"/>
    </row>
    <row r="81" spans="1:65" s="966" customFormat="1" ht="12.75">
      <c r="A81" s="958" t="s">
        <v>1589</v>
      </c>
      <c r="B81" s="967"/>
      <c r="C81" s="423"/>
      <c r="D81" s="571"/>
      <c r="E81" s="571"/>
      <c r="F81" s="571"/>
      <c r="G81" s="1272"/>
      <c r="H81" s="1272"/>
      <c r="I81" s="1251"/>
      <c r="J81" s="1251"/>
      <c r="K81" s="1279"/>
      <c r="L81" s="1279"/>
      <c r="M81" s="683">
        <f>COUNTIF(M59:M80, "M")</f>
        <v>4</v>
      </c>
      <c r="N81" s="683">
        <f t="shared" ref="N81:BF81" si="94">COUNTIF(N59:N80, "M")</f>
        <v>7</v>
      </c>
      <c r="O81" s="683">
        <f t="shared" si="94"/>
        <v>7</v>
      </c>
      <c r="P81" s="666">
        <f t="shared" si="94"/>
        <v>0</v>
      </c>
      <c r="Q81" s="1252"/>
      <c r="R81" s="286"/>
      <c r="S81" s="651"/>
      <c r="T81" s="683"/>
      <c r="U81" s="683">
        <f t="shared" si="94"/>
        <v>3</v>
      </c>
      <c r="V81" s="683">
        <f t="shared" si="94"/>
        <v>3</v>
      </c>
      <c r="W81" s="683">
        <f t="shared" si="94"/>
        <v>1</v>
      </c>
      <c r="X81" s="683">
        <f t="shared" si="94"/>
        <v>0</v>
      </c>
      <c r="Y81" s="683">
        <f t="shared" si="94"/>
        <v>1</v>
      </c>
      <c r="Z81" s="683">
        <f t="shared" si="94"/>
        <v>15</v>
      </c>
      <c r="AA81" s="683">
        <f t="shared" si="94"/>
        <v>0</v>
      </c>
      <c r="AB81" s="683">
        <f t="shared" si="94"/>
        <v>4</v>
      </c>
      <c r="AC81" s="1252"/>
      <c r="AD81" s="1252"/>
      <c r="AE81" s="683"/>
      <c r="AF81" s="683"/>
      <c r="AG81" s="683">
        <f t="shared" si="94"/>
        <v>0</v>
      </c>
      <c r="AH81" s="683">
        <f t="shared" si="94"/>
        <v>0</v>
      </c>
      <c r="AI81" s="683">
        <f t="shared" si="94"/>
        <v>0</v>
      </c>
      <c r="AJ81" s="683">
        <f t="shared" si="94"/>
        <v>0</v>
      </c>
      <c r="AK81" s="683">
        <f t="shared" si="94"/>
        <v>0</v>
      </c>
      <c r="AL81" s="683">
        <f t="shared" si="94"/>
        <v>0</v>
      </c>
      <c r="AM81" s="1252"/>
      <c r="AN81" s="1252"/>
      <c r="AO81" s="683"/>
      <c r="AP81" s="683"/>
      <c r="AQ81" s="683">
        <f t="shared" si="94"/>
        <v>3</v>
      </c>
      <c r="AR81" s="683">
        <f t="shared" si="94"/>
        <v>14</v>
      </c>
      <c r="AS81" s="683">
        <f t="shared" si="94"/>
        <v>9</v>
      </c>
      <c r="AT81" s="683">
        <f t="shared" si="94"/>
        <v>0</v>
      </c>
      <c r="AU81" s="683">
        <f t="shared" si="94"/>
        <v>0</v>
      </c>
      <c r="AV81" s="683">
        <f t="shared" si="94"/>
        <v>0</v>
      </c>
      <c r="AW81" s="683">
        <f t="shared" si="94"/>
        <v>2</v>
      </c>
      <c r="AX81" s="1252"/>
      <c r="AY81" s="1252"/>
      <c r="AZ81" s="683"/>
      <c r="BA81" s="683"/>
      <c r="BB81" s="683">
        <f t="shared" si="94"/>
        <v>0</v>
      </c>
      <c r="BC81" s="683">
        <f t="shared" si="94"/>
        <v>0</v>
      </c>
      <c r="BD81" s="683">
        <f t="shared" si="94"/>
        <v>2</v>
      </c>
      <c r="BE81" s="683">
        <f t="shared" si="94"/>
        <v>6</v>
      </c>
      <c r="BF81" s="683">
        <f t="shared" si="94"/>
        <v>2</v>
      </c>
      <c r="BI81" s="1280"/>
      <c r="BJ81" s="535"/>
      <c r="BK81" s="569"/>
      <c r="BL81" s="569"/>
      <c r="BM81" s="1277"/>
    </row>
    <row r="82" spans="1:65" s="966" customFormat="1" ht="12.75">
      <c r="A82" s="958" t="s">
        <v>1590</v>
      </c>
      <c r="B82" s="967"/>
      <c r="C82" s="423"/>
      <c r="D82" s="571"/>
      <c r="E82" s="571"/>
      <c r="F82" s="571"/>
      <c r="G82" s="1272"/>
      <c r="H82" s="1272"/>
      <c r="I82" s="1251"/>
      <c r="J82" s="1251"/>
      <c r="K82" s="1279"/>
      <c r="L82" s="1279"/>
      <c r="M82" s="683">
        <f>COUNTIF(M59:M80, "H")</f>
        <v>8</v>
      </c>
      <c r="N82" s="683">
        <f t="shared" ref="N82:BF82" si="95">COUNTIF(N59:N80, "H")</f>
        <v>8</v>
      </c>
      <c r="O82" s="683">
        <f t="shared" si="95"/>
        <v>15</v>
      </c>
      <c r="P82" s="666">
        <f t="shared" si="95"/>
        <v>0</v>
      </c>
      <c r="Q82" s="1252"/>
      <c r="R82" s="286"/>
      <c r="S82" s="651"/>
      <c r="T82" s="683"/>
      <c r="U82" s="683">
        <f t="shared" si="95"/>
        <v>15</v>
      </c>
      <c r="V82" s="683">
        <f t="shared" si="95"/>
        <v>13</v>
      </c>
      <c r="W82" s="683">
        <f t="shared" si="95"/>
        <v>21</v>
      </c>
      <c r="X82" s="683">
        <f t="shared" si="95"/>
        <v>0</v>
      </c>
      <c r="Y82" s="683">
        <f t="shared" si="95"/>
        <v>16</v>
      </c>
      <c r="Z82" s="683">
        <f t="shared" si="95"/>
        <v>4</v>
      </c>
      <c r="AA82" s="683">
        <f t="shared" si="95"/>
        <v>18</v>
      </c>
      <c r="AB82" s="683">
        <f t="shared" si="95"/>
        <v>17</v>
      </c>
      <c r="AC82" s="1252"/>
      <c r="AD82" s="1252"/>
      <c r="AE82" s="683"/>
      <c r="AF82" s="683"/>
      <c r="AG82" s="683">
        <f t="shared" si="95"/>
        <v>0</v>
      </c>
      <c r="AH82" s="683">
        <f t="shared" si="95"/>
        <v>0</v>
      </c>
      <c r="AI82" s="683">
        <f t="shared" si="95"/>
        <v>0</v>
      </c>
      <c r="AJ82" s="683">
        <f t="shared" si="95"/>
        <v>0</v>
      </c>
      <c r="AK82" s="683">
        <f t="shared" si="95"/>
        <v>0</v>
      </c>
      <c r="AL82" s="683">
        <f t="shared" si="95"/>
        <v>0</v>
      </c>
      <c r="AM82" s="1252"/>
      <c r="AN82" s="1252"/>
      <c r="AO82" s="683"/>
      <c r="AP82" s="683"/>
      <c r="AQ82" s="683">
        <f t="shared" si="95"/>
        <v>16</v>
      </c>
      <c r="AR82" s="683">
        <f t="shared" si="95"/>
        <v>1</v>
      </c>
      <c r="AS82" s="683">
        <f t="shared" si="95"/>
        <v>8</v>
      </c>
      <c r="AT82" s="683">
        <f t="shared" si="95"/>
        <v>5</v>
      </c>
      <c r="AU82" s="683">
        <f t="shared" si="95"/>
        <v>0</v>
      </c>
      <c r="AV82" s="683">
        <f t="shared" si="95"/>
        <v>0</v>
      </c>
      <c r="AW82" s="683">
        <f t="shared" si="95"/>
        <v>0</v>
      </c>
      <c r="AX82" s="1252"/>
      <c r="AY82" s="1252"/>
      <c r="AZ82" s="683"/>
      <c r="BA82" s="683"/>
      <c r="BB82" s="683">
        <f t="shared" si="95"/>
        <v>0</v>
      </c>
      <c r="BC82" s="683">
        <f t="shared" si="95"/>
        <v>0</v>
      </c>
      <c r="BD82" s="683">
        <f t="shared" si="95"/>
        <v>0</v>
      </c>
      <c r="BE82" s="683">
        <f t="shared" si="95"/>
        <v>16</v>
      </c>
      <c r="BF82" s="683">
        <f t="shared" si="95"/>
        <v>20</v>
      </c>
      <c r="BI82" s="1280"/>
      <c r="BJ82" s="535"/>
      <c r="BK82" s="569"/>
      <c r="BL82" s="569"/>
      <c r="BM82" s="1277"/>
    </row>
    <row r="83" spans="1:65" s="980" customFormat="1" ht="12.75">
      <c r="A83" s="1525" t="s">
        <v>564</v>
      </c>
      <c r="B83" s="1526" t="s">
        <v>521</v>
      </c>
      <c r="C83" s="424" t="s">
        <v>1001</v>
      </c>
      <c r="D83" s="1207">
        <f t="shared" ref="D83:D96" si="96">E83+F83</f>
        <v>17</v>
      </c>
      <c r="E83" s="1207">
        <f t="shared" ref="E83:E96" si="97">G83*1</f>
        <v>1</v>
      </c>
      <c r="F83" s="1207">
        <f t="shared" ref="F83:F96" si="98">H83*2</f>
        <v>16</v>
      </c>
      <c r="G83" s="1281">
        <f t="shared" ref="G83:H96" si="99">SUM(K83+S83+AE83+AO83+AZ83)</f>
        <v>1</v>
      </c>
      <c r="H83" s="1281">
        <f t="shared" si="99"/>
        <v>8</v>
      </c>
      <c r="I83" s="1224">
        <f t="shared" ref="I83:I96" si="100">J83/8</f>
        <v>0.75</v>
      </c>
      <c r="J83" s="1225">
        <f t="shared" ref="J83:J96" si="101">K83+(L83*2)</f>
        <v>6</v>
      </c>
      <c r="K83" s="970">
        <f t="shared" ref="K83:K96" si="102">COUNTIF(M83:P83, "M")</f>
        <v>0</v>
      </c>
      <c r="L83" s="1282">
        <f t="shared" ref="L83:L96" si="103">COUNTIF(M83:P83, "H")</f>
        <v>3</v>
      </c>
      <c r="M83" s="684" t="s">
        <v>562</v>
      </c>
      <c r="N83" s="684" t="s">
        <v>562</v>
      </c>
      <c r="O83" s="684" t="s">
        <v>562</v>
      </c>
      <c r="P83" s="668"/>
      <c r="Q83" s="1224">
        <f t="shared" ref="Q83:Q96" si="104">R83/16</f>
        <v>0.5</v>
      </c>
      <c r="R83" s="1225">
        <f t="shared" ref="R83:R96" si="105">S83+(T83*2)</f>
        <v>8</v>
      </c>
      <c r="S83" s="976">
        <f t="shared" ref="S83:S96" si="106">COUNTIF(U83:AB83, "M")</f>
        <v>0</v>
      </c>
      <c r="T83" s="970">
        <f t="shared" ref="T83:T96" si="107">COUNTIF(U83:AB83, "H")</f>
        <v>4</v>
      </c>
      <c r="U83" s="684"/>
      <c r="V83" s="652"/>
      <c r="W83" s="684" t="s">
        <v>562</v>
      </c>
      <c r="X83" s="684"/>
      <c r="Y83" s="652" t="s">
        <v>562</v>
      </c>
      <c r="Z83" s="684" t="s">
        <v>562</v>
      </c>
      <c r="AA83" s="1283"/>
      <c r="AB83" s="684" t="s">
        <v>562</v>
      </c>
      <c r="AC83" s="1244"/>
      <c r="AD83" s="1244"/>
      <c r="AE83" s="970">
        <f t="shared" ref="AE83:AE96" si="108">COUNTIF(AG83:AL83, "M")</f>
        <v>0</v>
      </c>
      <c r="AF83" s="970">
        <f t="shared" ref="AF83:AF96" si="109">COUNTIF(AG83:AL83, "H")</f>
        <v>0</v>
      </c>
      <c r="AG83" s="684"/>
      <c r="AH83" s="667"/>
      <c r="AI83" s="667"/>
      <c r="AJ83" s="806"/>
      <c r="AK83" s="1284"/>
      <c r="AL83" s="1285"/>
      <c r="AM83" s="1224">
        <f t="shared" ref="AM83:AM96" si="110">AN83/14</f>
        <v>0</v>
      </c>
      <c r="AN83" s="1225">
        <f t="shared" ref="AN83:AN96" si="111">AO83+(AP83*2)</f>
        <v>0</v>
      </c>
      <c r="AO83" s="970">
        <f t="shared" ref="AO83:AO96" si="112">COUNTIF(AQ83:AW83, "M")</f>
        <v>0</v>
      </c>
      <c r="AP83" s="970">
        <f t="shared" ref="AP83:AP96" si="113">COUNTIF(AQ83:AW83, "H")</f>
        <v>0</v>
      </c>
      <c r="AQ83" s="667"/>
      <c r="AR83" s="667"/>
      <c r="AS83" s="667"/>
      <c r="AT83" s="667"/>
      <c r="AU83" s="806"/>
      <c r="AV83" s="667"/>
      <c r="AW83" s="806"/>
      <c r="AX83" s="1224">
        <f t="shared" ref="AX83:AX96" si="114">AY83/10</f>
        <v>0.3</v>
      </c>
      <c r="AY83" s="1225">
        <f t="shared" ref="AY83:AY96" si="115">AZ83+(BA83*2)</f>
        <v>3</v>
      </c>
      <c r="AZ83" s="970">
        <f t="shared" ref="AZ83:AZ144" si="116">COUNTIF(BB83:BF83, "M")</f>
        <v>1</v>
      </c>
      <c r="BA83" s="970">
        <f t="shared" ref="BA83:BA144" si="117">COUNTIF(BB83:BF83, "H")</f>
        <v>1</v>
      </c>
      <c r="BB83" s="652"/>
      <c r="BC83" s="684"/>
      <c r="BD83" s="652"/>
      <c r="BE83" s="667" t="s">
        <v>587</v>
      </c>
      <c r="BF83" s="668" t="s">
        <v>562</v>
      </c>
      <c r="BI83" s="1513" t="s">
        <v>1217</v>
      </c>
      <c r="BJ83" s="1527" t="s">
        <v>1216</v>
      </c>
      <c r="BK83" s="491"/>
      <c r="BL83" s="570"/>
      <c r="BM83" s="1286"/>
    </row>
    <row r="84" spans="1:65" s="980" customFormat="1" ht="12.75">
      <c r="A84" s="1525"/>
      <c r="B84" s="1526"/>
      <c r="C84" s="424" t="s">
        <v>1002</v>
      </c>
      <c r="D84" s="1207">
        <f t="shared" si="96"/>
        <v>18</v>
      </c>
      <c r="E84" s="1207">
        <f t="shared" si="97"/>
        <v>2</v>
      </c>
      <c r="F84" s="1207">
        <f t="shared" si="98"/>
        <v>16</v>
      </c>
      <c r="G84" s="1281">
        <f t="shared" si="99"/>
        <v>2</v>
      </c>
      <c r="H84" s="1281">
        <f t="shared" si="99"/>
        <v>8</v>
      </c>
      <c r="I84" s="1224">
        <f t="shared" si="100"/>
        <v>0.75</v>
      </c>
      <c r="J84" s="1225">
        <f t="shared" si="101"/>
        <v>6</v>
      </c>
      <c r="K84" s="970">
        <f t="shared" si="102"/>
        <v>0</v>
      </c>
      <c r="L84" s="1282">
        <f t="shared" si="103"/>
        <v>3</v>
      </c>
      <c r="M84" s="684" t="s">
        <v>562</v>
      </c>
      <c r="N84" s="684" t="s">
        <v>562</v>
      </c>
      <c r="O84" s="684" t="s">
        <v>562</v>
      </c>
      <c r="P84" s="668"/>
      <c r="Q84" s="1224">
        <f t="shared" si="104"/>
        <v>0.5625</v>
      </c>
      <c r="R84" s="1225">
        <f t="shared" si="105"/>
        <v>9</v>
      </c>
      <c r="S84" s="976">
        <f t="shared" si="106"/>
        <v>1</v>
      </c>
      <c r="T84" s="970">
        <f t="shared" si="107"/>
        <v>4</v>
      </c>
      <c r="U84" s="684"/>
      <c r="V84" s="652" t="s">
        <v>587</v>
      </c>
      <c r="W84" s="684" t="s">
        <v>562</v>
      </c>
      <c r="X84" s="684"/>
      <c r="Y84" s="652" t="s">
        <v>562</v>
      </c>
      <c r="Z84" s="684" t="s">
        <v>562</v>
      </c>
      <c r="AA84" s="1283"/>
      <c r="AB84" s="684" t="s">
        <v>562</v>
      </c>
      <c r="AC84" s="1244"/>
      <c r="AD84" s="1244"/>
      <c r="AE84" s="970">
        <f t="shared" si="108"/>
        <v>0</v>
      </c>
      <c r="AF84" s="970">
        <f t="shared" si="109"/>
        <v>0</v>
      </c>
      <c r="AG84" s="684"/>
      <c r="AH84" s="667"/>
      <c r="AI84" s="667"/>
      <c r="AJ84" s="806"/>
      <c r="AK84" s="1284"/>
      <c r="AL84" s="1285"/>
      <c r="AM84" s="1224">
        <f t="shared" si="110"/>
        <v>0</v>
      </c>
      <c r="AN84" s="1225">
        <f t="shared" si="111"/>
        <v>0</v>
      </c>
      <c r="AO84" s="970">
        <f t="shared" si="112"/>
        <v>0</v>
      </c>
      <c r="AP84" s="970">
        <f t="shared" si="113"/>
        <v>0</v>
      </c>
      <c r="AQ84" s="667"/>
      <c r="AR84" s="667"/>
      <c r="AS84" s="667"/>
      <c r="AT84" s="667"/>
      <c r="AU84" s="806"/>
      <c r="AV84" s="667"/>
      <c r="AW84" s="806"/>
      <c r="AX84" s="1224">
        <f t="shared" si="114"/>
        <v>0.3</v>
      </c>
      <c r="AY84" s="1225">
        <f t="shared" si="115"/>
        <v>3</v>
      </c>
      <c r="AZ84" s="970">
        <f t="shared" si="116"/>
        <v>1</v>
      </c>
      <c r="BA84" s="970">
        <f t="shared" si="117"/>
        <v>1</v>
      </c>
      <c r="BB84" s="652"/>
      <c r="BC84" s="684"/>
      <c r="BD84" s="652"/>
      <c r="BE84" s="667" t="s">
        <v>587</v>
      </c>
      <c r="BF84" s="668" t="s">
        <v>562</v>
      </c>
      <c r="BI84" s="1514"/>
      <c r="BJ84" s="1527"/>
      <c r="BK84" s="491"/>
      <c r="BL84" s="570"/>
      <c r="BM84" s="1286"/>
    </row>
    <row r="85" spans="1:65" s="980" customFormat="1" ht="12.75">
      <c r="A85" s="1525"/>
      <c r="B85" s="1526"/>
      <c r="C85" s="424" t="s">
        <v>1003</v>
      </c>
      <c r="D85" s="1207">
        <f t="shared" si="96"/>
        <v>18</v>
      </c>
      <c r="E85" s="1207">
        <f t="shared" si="97"/>
        <v>2</v>
      </c>
      <c r="F85" s="1207">
        <f t="shared" si="98"/>
        <v>16</v>
      </c>
      <c r="G85" s="1281">
        <f t="shared" si="99"/>
        <v>2</v>
      </c>
      <c r="H85" s="1281">
        <f t="shared" si="99"/>
        <v>8</v>
      </c>
      <c r="I85" s="1224">
        <f t="shared" si="100"/>
        <v>0.75</v>
      </c>
      <c r="J85" s="1225">
        <f t="shared" si="101"/>
        <v>6</v>
      </c>
      <c r="K85" s="970">
        <f t="shared" si="102"/>
        <v>0</v>
      </c>
      <c r="L85" s="1282">
        <f t="shared" si="103"/>
        <v>3</v>
      </c>
      <c r="M85" s="684" t="s">
        <v>562</v>
      </c>
      <c r="N85" s="684" t="s">
        <v>562</v>
      </c>
      <c r="O85" s="684" t="s">
        <v>562</v>
      </c>
      <c r="P85" s="668"/>
      <c r="Q85" s="1224">
        <f t="shared" si="104"/>
        <v>0.5625</v>
      </c>
      <c r="R85" s="1225">
        <f t="shared" si="105"/>
        <v>9</v>
      </c>
      <c r="S85" s="976">
        <f t="shared" si="106"/>
        <v>1</v>
      </c>
      <c r="T85" s="970">
        <f t="shared" si="107"/>
        <v>4</v>
      </c>
      <c r="U85" s="684"/>
      <c r="V85" s="652" t="s">
        <v>587</v>
      </c>
      <c r="W85" s="684" t="s">
        <v>562</v>
      </c>
      <c r="X85" s="684"/>
      <c r="Y85" s="652" t="s">
        <v>562</v>
      </c>
      <c r="Z85" s="684" t="s">
        <v>562</v>
      </c>
      <c r="AA85" s="1283"/>
      <c r="AB85" s="684" t="s">
        <v>562</v>
      </c>
      <c r="AC85" s="1244"/>
      <c r="AD85" s="1244"/>
      <c r="AE85" s="970">
        <f t="shared" si="108"/>
        <v>0</v>
      </c>
      <c r="AF85" s="970">
        <f t="shared" si="109"/>
        <v>0</v>
      </c>
      <c r="AG85" s="684"/>
      <c r="AH85" s="667"/>
      <c r="AI85" s="667"/>
      <c r="AJ85" s="806"/>
      <c r="AK85" s="1284"/>
      <c r="AL85" s="1285"/>
      <c r="AM85" s="1224">
        <f t="shared" si="110"/>
        <v>0</v>
      </c>
      <c r="AN85" s="1225">
        <f t="shared" si="111"/>
        <v>0</v>
      </c>
      <c r="AO85" s="970">
        <f t="shared" si="112"/>
        <v>0</v>
      </c>
      <c r="AP85" s="970">
        <f t="shared" si="113"/>
        <v>0</v>
      </c>
      <c r="AQ85" s="667"/>
      <c r="AR85" s="667"/>
      <c r="AS85" s="667"/>
      <c r="AT85" s="667"/>
      <c r="AU85" s="806"/>
      <c r="AV85" s="667"/>
      <c r="AW85" s="806"/>
      <c r="AX85" s="1224">
        <f t="shared" si="114"/>
        <v>0.3</v>
      </c>
      <c r="AY85" s="1225">
        <f t="shared" si="115"/>
        <v>3</v>
      </c>
      <c r="AZ85" s="970">
        <f t="shared" si="116"/>
        <v>1</v>
      </c>
      <c r="BA85" s="970">
        <f t="shared" si="117"/>
        <v>1</v>
      </c>
      <c r="BB85" s="652"/>
      <c r="BC85" s="684"/>
      <c r="BD85" s="652"/>
      <c r="BE85" s="667" t="s">
        <v>587</v>
      </c>
      <c r="BF85" s="668" t="s">
        <v>562</v>
      </c>
      <c r="BI85" s="1514"/>
      <c r="BJ85" s="1527"/>
      <c r="BK85" s="491"/>
      <c r="BL85" s="570"/>
      <c r="BM85" s="1286"/>
    </row>
    <row r="86" spans="1:65" s="980" customFormat="1" ht="25.5">
      <c r="A86" s="1525"/>
      <c r="B86" s="1526"/>
      <c r="C86" s="424" t="s">
        <v>1068</v>
      </c>
      <c r="D86" s="1207">
        <f t="shared" si="96"/>
        <v>18</v>
      </c>
      <c r="E86" s="1207">
        <f t="shared" si="97"/>
        <v>2</v>
      </c>
      <c r="F86" s="1207">
        <f t="shared" si="98"/>
        <v>16</v>
      </c>
      <c r="G86" s="1281">
        <f t="shared" si="99"/>
        <v>2</v>
      </c>
      <c r="H86" s="1281">
        <f t="shared" si="99"/>
        <v>8</v>
      </c>
      <c r="I86" s="1224">
        <f t="shared" si="100"/>
        <v>0.75</v>
      </c>
      <c r="J86" s="1225">
        <f t="shared" si="101"/>
        <v>6</v>
      </c>
      <c r="K86" s="970">
        <f t="shared" si="102"/>
        <v>0</v>
      </c>
      <c r="L86" s="1282">
        <f t="shared" si="103"/>
        <v>3</v>
      </c>
      <c r="M86" s="684" t="s">
        <v>562</v>
      </c>
      <c r="N86" s="684" t="s">
        <v>562</v>
      </c>
      <c r="O86" s="684" t="s">
        <v>562</v>
      </c>
      <c r="P86" s="668"/>
      <c r="Q86" s="1224">
        <f t="shared" si="104"/>
        <v>0.5625</v>
      </c>
      <c r="R86" s="1225">
        <f t="shared" si="105"/>
        <v>9</v>
      </c>
      <c r="S86" s="976">
        <f t="shared" si="106"/>
        <v>1</v>
      </c>
      <c r="T86" s="970">
        <f t="shared" si="107"/>
        <v>4</v>
      </c>
      <c r="U86" s="684"/>
      <c r="V86" s="652" t="s">
        <v>587</v>
      </c>
      <c r="W86" s="684" t="s">
        <v>562</v>
      </c>
      <c r="X86" s="684"/>
      <c r="Y86" s="652" t="s">
        <v>562</v>
      </c>
      <c r="Z86" s="684" t="s">
        <v>562</v>
      </c>
      <c r="AA86" s="1283"/>
      <c r="AB86" s="684" t="s">
        <v>562</v>
      </c>
      <c r="AC86" s="1244"/>
      <c r="AD86" s="1244"/>
      <c r="AE86" s="970">
        <f t="shared" si="108"/>
        <v>0</v>
      </c>
      <c r="AF86" s="970">
        <f t="shared" si="109"/>
        <v>0</v>
      </c>
      <c r="AG86" s="684"/>
      <c r="AH86" s="667"/>
      <c r="AI86" s="667"/>
      <c r="AJ86" s="806"/>
      <c r="AK86" s="1284"/>
      <c r="AL86" s="1285"/>
      <c r="AM86" s="1224">
        <f t="shared" si="110"/>
        <v>0</v>
      </c>
      <c r="AN86" s="1225">
        <f t="shared" si="111"/>
        <v>0</v>
      </c>
      <c r="AO86" s="970">
        <f t="shared" si="112"/>
        <v>0</v>
      </c>
      <c r="AP86" s="970">
        <f t="shared" si="113"/>
        <v>0</v>
      </c>
      <c r="AQ86" s="667"/>
      <c r="AR86" s="667"/>
      <c r="AS86" s="667"/>
      <c r="AT86" s="667"/>
      <c r="AU86" s="806"/>
      <c r="AV86" s="667"/>
      <c r="AW86" s="806"/>
      <c r="AX86" s="1224">
        <f t="shared" si="114"/>
        <v>0.3</v>
      </c>
      <c r="AY86" s="1225">
        <f t="shared" si="115"/>
        <v>3</v>
      </c>
      <c r="AZ86" s="970">
        <f t="shared" si="116"/>
        <v>1</v>
      </c>
      <c r="BA86" s="970">
        <f t="shared" si="117"/>
        <v>1</v>
      </c>
      <c r="BB86" s="652"/>
      <c r="BC86" s="684"/>
      <c r="BD86" s="652"/>
      <c r="BE86" s="667" t="s">
        <v>587</v>
      </c>
      <c r="BF86" s="668" t="s">
        <v>562</v>
      </c>
      <c r="BI86" s="1514"/>
      <c r="BJ86" s="1527"/>
      <c r="BK86" s="491"/>
      <c r="BL86" s="570"/>
      <c r="BM86" s="1286"/>
    </row>
    <row r="87" spans="1:65" s="980" customFormat="1" ht="12.75">
      <c r="A87" s="1525"/>
      <c r="B87" s="1526"/>
      <c r="C87" s="424" t="s">
        <v>1004</v>
      </c>
      <c r="D87" s="1207">
        <f t="shared" si="96"/>
        <v>19</v>
      </c>
      <c r="E87" s="1207">
        <f t="shared" si="97"/>
        <v>1</v>
      </c>
      <c r="F87" s="1207">
        <f t="shared" si="98"/>
        <v>18</v>
      </c>
      <c r="G87" s="1281">
        <f t="shared" si="99"/>
        <v>1</v>
      </c>
      <c r="H87" s="1281">
        <f t="shared" si="99"/>
        <v>9</v>
      </c>
      <c r="I87" s="1224">
        <f t="shared" si="100"/>
        <v>0.75</v>
      </c>
      <c r="J87" s="1225">
        <f t="shared" si="101"/>
        <v>6</v>
      </c>
      <c r="K87" s="970">
        <f t="shared" si="102"/>
        <v>0</v>
      </c>
      <c r="L87" s="1282">
        <f t="shared" si="103"/>
        <v>3</v>
      </c>
      <c r="M87" s="684" t="s">
        <v>562</v>
      </c>
      <c r="N87" s="684" t="s">
        <v>562</v>
      </c>
      <c r="O87" s="684" t="s">
        <v>562</v>
      </c>
      <c r="P87" s="668"/>
      <c r="Q87" s="1224">
        <f t="shared" si="104"/>
        <v>0.625</v>
      </c>
      <c r="R87" s="1225">
        <f t="shared" si="105"/>
        <v>10</v>
      </c>
      <c r="S87" s="976">
        <f t="shared" si="106"/>
        <v>0</v>
      </c>
      <c r="T87" s="970">
        <f t="shared" si="107"/>
        <v>5</v>
      </c>
      <c r="U87" s="684"/>
      <c r="V87" s="652" t="s">
        <v>562</v>
      </c>
      <c r="W87" s="684" t="s">
        <v>562</v>
      </c>
      <c r="X87" s="684"/>
      <c r="Y87" s="652" t="s">
        <v>562</v>
      </c>
      <c r="Z87" s="684" t="s">
        <v>562</v>
      </c>
      <c r="AA87" s="1283"/>
      <c r="AB87" s="684" t="s">
        <v>562</v>
      </c>
      <c r="AC87" s="1244"/>
      <c r="AD87" s="1244"/>
      <c r="AE87" s="970">
        <f t="shared" si="108"/>
        <v>0</v>
      </c>
      <c r="AF87" s="970">
        <f t="shared" si="109"/>
        <v>0</v>
      </c>
      <c r="AG87" s="684"/>
      <c r="AH87" s="667"/>
      <c r="AI87" s="667"/>
      <c r="AJ87" s="806"/>
      <c r="AK87" s="1284"/>
      <c r="AL87" s="1285"/>
      <c r="AM87" s="1224">
        <f t="shared" si="110"/>
        <v>0</v>
      </c>
      <c r="AN87" s="1225">
        <f t="shared" si="111"/>
        <v>0</v>
      </c>
      <c r="AO87" s="970">
        <f t="shared" si="112"/>
        <v>0</v>
      </c>
      <c r="AP87" s="970">
        <f t="shared" si="113"/>
        <v>0</v>
      </c>
      <c r="AQ87" s="667"/>
      <c r="AR87" s="667"/>
      <c r="AS87" s="667"/>
      <c r="AT87" s="667"/>
      <c r="AU87" s="806"/>
      <c r="AV87" s="667"/>
      <c r="AW87" s="806"/>
      <c r="AX87" s="1224">
        <f t="shared" si="114"/>
        <v>0.3</v>
      </c>
      <c r="AY87" s="1225">
        <f t="shared" si="115"/>
        <v>3</v>
      </c>
      <c r="AZ87" s="970">
        <f t="shared" si="116"/>
        <v>1</v>
      </c>
      <c r="BA87" s="970">
        <f t="shared" si="117"/>
        <v>1</v>
      </c>
      <c r="BB87" s="652"/>
      <c r="BC87" s="684"/>
      <c r="BD87" s="652"/>
      <c r="BE87" s="667" t="s">
        <v>587</v>
      </c>
      <c r="BF87" s="668" t="s">
        <v>562</v>
      </c>
      <c r="BI87" s="1515"/>
      <c r="BJ87" s="1527"/>
      <c r="BK87" s="491"/>
      <c r="BL87" s="570"/>
      <c r="BM87" s="1286"/>
    </row>
    <row r="88" spans="1:65" s="980" customFormat="1" ht="25.5">
      <c r="A88" s="1525"/>
      <c r="B88" s="1048" t="s">
        <v>987</v>
      </c>
      <c r="C88" s="424" t="s">
        <v>1041</v>
      </c>
      <c r="D88" s="1207">
        <f t="shared" si="96"/>
        <v>14</v>
      </c>
      <c r="E88" s="1207">
        <f t="shared" si="97"/>
        <v>6</v>
      </c>
      <c r="F88" s="1207">
        <f t="shared" si="98"/>
        <v>8</v>
      </c>
      <c r="G88" s="1281">
        <f t="shared" si="99"/>
        <v>6</v>
      </c>
      <c r="H88" s="1281">
        <f t="shared" si="99"/>
        <v>4</v>
      </c>
      <c r="I88" s="1224">
        <f t="shared" si="100"/>
        <v>0.625</v>
      </c>
      <c r="J88" s="1225">
        <f t="shared" si="101"/>
        <v>5</v>
      </c>
      <c r="K88" s="970">
        <f t="shared" si="102"/>
        <v>1</v>
      </c>
      <c r="L88" s="1282">
        <f t="shared" si="103"/>
        <v>2</v>
      </c>
      <c r="M88" s="684" t="s">
        <v>562</v>
      </c>
      <c r="N88" s="684" t="s">
        <v>562</v>
      </c>
      <c r="O88" s="684" t="s">
        <v>587</v>
      </c>
      <c r="P88" s="668"/>
      <c r="Q88" s="1224">
        <f t="shared" si="104"/>
        <v>0.375</v>
      </c>
      <c r="R88" s="1225">
        <f t="shared" si="105"/>
        <v>6</v>
      </c>
      <c r="S88" s="976">
        <f t="shared" si="106"/>
        <v>4</v>
      </c>
      <c r="T88" s="970">
        <f t="shared" si="107"/>
        <v>1</v>
      </c>
      <c r="U88" s="684" t="s">
        <v>587</v>
      </c>
      <c r="V88" s="652" t="s">
        <v>587</v>
      </c>
      <c r="W88" s="684" t="s">
        <v>562</v>
      </c>
      <c r="X88" s="684"/>
      <c r="Y88" s="652" t="s">
        <v>587</v>
      </c>
      <c r="Z88" s="684"/>
      <c r="AA88" s="1283"/>
      <c r="AB88" s="684" t="s">
        <v>587</v>
      </c>
      <c r="AC88" s="1244"/>
      <c r="AD88" s="1244"/>
      <c r="AE88" s="970">
        <f t="shared" si="108"/>
        <v>0</v>
      </c>
      <c r="AF88" s="970">
        <f t="shared" si="109"/>
        <v>0</v>
      </c>
      <c r="AG88" s="684"/>
      <c r="AH88" s="667"/>
      <c r="AI88" s="667"/>
      <c r="AJ88" s="806"/>
      <c r="AK88" s="1284"/>
      <c r="AL88" s="1285"/>
      <c r="AM88" s="1224">
        <f t="shared" si="110"/>
        <v>0</v>
      </c>
      <c r="AN88" s="1225">
        <f t="shared" si="111"/>
        <v>0</v>
      </c>
      <c r="AO88" s="970">
        <f t="shared" si="112"/>
        <v>0</v>
      </c>
      <c r="AP88" s="970">
        <f t="shared" si="113"/>
        <v>0</v>
      </c>
      <c r="AQ88" s="667"/>
      <c r="AR88" s="667"/>
      <c r="AS88" s="667"/>
      <c r="AT88" s="667"/>
      <c r="AU88" s="806"/>
      <c r="AV88" s="667"/>
      <c r="AW88" s="806"/>
      <c r="AX88" s="1224">
        <f t="shared" si="114"/>
        <v>0.3</v>
      </c>
      <c r="AY88" s="1225">
        <f t="shared" si="115"/>
        <v>3</v>
      </c>
      <c r="AZ88" s="970">
        <f t="shared" si="116"/>
        <v>1</v>
      </c>
      <c r="BA88" s="970">
        <f t="shared" si="117"/>
        <v>1</v>
      </c>
      <c r="BB88" s="652"/>
      <c r="BC88" s="684"/>
      <c r="BD88" s="652"/>
      <c r="BE88" s="667" t="s">
        <v>587</v>
      </c>
      <c r="BF88" s="668" t="s">
        <v>562</v>
      </c>
      <c r="BI88" s="1287" t="s">
        <v>1215</v>
      </c>
      <c r="BJ88" s="1049" t="s">
        <v>1214</v>
      </c>
      <c r="BK88" s="491"/>
      <c r="BL88" s="570"/>
      <c r="BM88" s="1286"/>
    </row>
    <row r="89" spans="1:65" s="980" customFormat="1" ht="22.5">
      <c r="A89" s="1525"/>
      <c r="B89" s="1526" t="s">
        <v>523</v>
      </c>
      <c r="C89" s="424" t="s">
        <v>865</v>
      </c>
      <c r="D89" s="1207">
        <f t="shared" si="96"/>
        <v>21</v>
      </c>
      <c r="E89" s="1207">
        <f t="shared" si="97"/>
        <v>1</v>
      </c>
      <c r="F89" s="1207">
        <f t="shared" si="98"/>
        <v>20</v>
      </c>
      <c r="G89" s="1281">
        <f t="shared" si="99"/>
        <v>1</v>
      </c>
      <c r="H89" s="1281">
        <f t="shared" si="99"/>
        <v>10</v>
      </c>
      <c r="I89" s="1224">
        <f t="shared" si="100"/>
        <v>0.75</v>
      </c>
      <c r="J89" s="1225">
        <f t="shared" si="101"/>
        <v>6</v>
      </c>
      <c r="K89" s="970">
        <f t="shared" si="102"/>
        <v>0</v>
      </c>
      <c r="L89" s="1282">
        <f t="shared" si="103"/>
        <v>3</v>
      </c>
      <c r="M89" s="684" t="s">
        <v>562</v>
      </c>
      <c r="N89" s="684" t="s">
        <v>562</v>
      </c>
      <c r="O89" s="684" t="s">
        <v>562</v>
      </c>
      <c r="P89" s="668"/>
      <c r="Q89" s="1224">
        <f t="shared" si="104"/>
        <v>0.75</v>
      </c>
      <c r="R89" s="1225">
        <f t="shared" si="105"/>
        <v>12</v>
      </c>
      <c r="S89" s="976">
        <f t="shared" si="106"/>
        <v>0</v>
      </c>
      <c r="T89" s="970">
        <f t="shared" si="107"/>
        <v>6</v>
      </c>
      <c r="U89" s="684" t="s">
        <v>562</v>
      </c>
      <c r="V89" s="652" t="s">
        <v>562</v>
      </c>
      <c r="W89" s="684" t="s">
        <v>562</v>
      </c>
      <c r="X89" s="684"/>
      <c r="Y89" s="652" t="s">
        <v>562</v>
      </c>
      <c r="Z89" s="684" t="s">
        <v>562</v>
      </c>
      <c r="AA89" s="1283"/>
      <c r="AB89" s="684" t="s">
        <v>562</v>
      </c>
      <c r="AC89" s="1244"/>
      <c r="AD89" s="1244"/>
      <c r="AE89" s="970">
        <f t="shared" si="108"/>
        <v>0</v>
      </c>
      <c r="AF89" s="970">
        <f t="shared" si="109"/>
        <v>0</v>
      </c>
      <c r="AG89" s="684"/>
      <c r="AH89" s="667"/>
      <c r="AI89" s="667"/>
      <c r="AJ89" s="806"/>
      <c r="AK89" s="1284"/>
      <c r="AL89" s="1285"/>
      <c r="AM89" s="1224">
        <f t="shared" si="110"/>
        <v>0</v>
      </c>
      <c r="AN89" s="1225">
        <f t="shared" si="111"/>
        <v>0</v>
      </c>
      <c r="AO89" s="970">
        <f t="shared" si="112"/>
        <v>0</v>
      </c>
      <c r="AP89" s="970">
        <f t="shared" si="113"/>
        <v>0</v>
      </c>
      <c r="AQ89" s="667"/>
      <c r="AR89" s="667"/>
      <c r="AS89" s="667"/>
      <c r="AT89" s="667"/>
      <c r="AU89" s="806"/>
      <c r="AV89" s="667"/>
      <c r="AW89" s="806"/>
      <c r="AX89" s="1224">
        <f t="shared" si="114"/>
        <v>0.3</v>
      </c>
      <c r="AY89" s="1225">
        <f t="shared" si="115"/>
        <v>3</v>
      </c>
      <c r="AZ89" s="970">
        <f t="shared" si="116"/>
        <v>1</v>
      </c>
      <c r="BA89" s="970">
        <f t="shared" si="117"/>
        <v>1</v>
      </c>
      <c r="BB89" s="652"/>
      <c r="BC89" s="684"/>
      <c r="BD89" s="652"/>
      <c r="BE89" s="667" t="s">
        <v>587</v>
      </c>
      <c r="BF89" s="668" t="s">
        <v>562</v>
      </c>
      <c r="BI89" s="1287" t="s">
        <v>1213</v>
      </c>
      <c r="BJ89" s="1049" t="s">
        <v>1212</v>
      </c>
      <c r="BK89" s="491"/>
      <c r="BL89" s="570"/>
      <c r="BM89" s="1286"/>
    </row>
    <row r="90" spans="1:65" s="980" customFormat="1" ht="22.5">
      <c r="A90" s="1525"/>
      <c r="B90" s="1526"/>
      <c r="C90" s="424" t="s">
        <v>866</v>
      </c>
      <c r="D90" s="1207">
        <f t="shared" si="96"/>
        <v>19</v>
      </c>
      <c r="E90" s="1207">
        <f t="shared" si="97"/>
        <v>1</v>
      </c>
      <c r="F90" s="1207">
        <f t="shared" si="98"/>
        <v>18</v>
      </c>
      <c r="G90" s="1281">
        <f t="shared" si="99"/>
        <v>1</v>
      </c>
      <c r="H90" s="1281">
        <f t="shared" si="99"/>
        <v>9</v>
      </c>
      <c r="I90" s="1224">
        <f t="shared" si="100"/>
        <v>0.75</v>
      </c>
      <c r="J90" s="1225">
        <f t="shared" si="101"/>
        <v>6</v>
      </c>
      <c r="K90" s="970">
        <f t="shared" si="102"/>
        <v>0</v>
      </c>
      <c r="L90" s="1282">
        <f t="shared" si="103"/>
        <v>3</v>
      </c>
      <c r="M90" s="684" t="s">
        <v>562</v>
      </c>
      <c r="N90" s="684" t="s">
        <v>562</v>
      </c>
      <c r="O90" s="684" t="s">
        <v>562</v>
      </c>
      <c r="P90" s="668"/>
      <c r="Q90" s="1224">
        <f t="shared" si="104"/>
        <v>0.625</v>
      </c>
      <c r="R90" s="1225">
        <f t="shared" si="105"/>
        <v>10</v>
      </c>
      <c r="S90" s="976">
        <f t="shared" si="106"/>
        <v>0</v>
      </c>
      <c r="T90" s="970">
        <f t="shared" si="107"/>
        <v>5</v>
      </c>
      <c r="U90" s="684" t="s">
        <v>562</v>
      </c>
      <c r="V90" s="652"/>
      <c r="W90" s="684" t="s">
        <v>562</v>
      </c>
      <c r="X90" s="684"/>
      <c r="Y90" s="652" t="s">
        <v>562</v>
      </c>
      <c r="Z90" s="684" t="s">
        <v>562</v>
      </c>
      <c r="AA90" s="1283"/>
      <c r="AB90" s="684" t="s">
        <v>562</v>
      </c>
      <c r="AC90" s="1244"/>
      <c r="AD90" s="1244"/>
      <c r="AE90" s="970">
        <f t="shared" si="108"/>
        <v>0</v>
      </c>
      <c r="AF90" s="970">
        <f t="shared" si="109"/>
        <v>0</v>
      </c>
      <c r="AG90" s="684"/>
      <c r="AH90" s="667"/>
      <c r="AI90" s="667"/>
      <c r="AJ90" s="806"/>
      <c r="AK90" s="1284"/>
      <c r="AL90" s="1285"/>
      <c r="AM90" s="1224">
        <f t="shared" si="110"/>
        <v>0</v>
      </c>
      <c r="AN90" s="1225">
        <f t="shared" si="111"/>
        <v>0</v>
      </c>
      <c r="AO90" s="970">
        <f t="shared" si="112"/>
        <v>0</v>
      </c>
      <c r="AP90" s="970">
        <f t="shared" si="113"/>
        <v>0</v>
      </c>
      <c r="AQ90" s="667"/>
      <c r="AR90" s="667"/>
      <c r="AS90" s="667"/>
      <c r="AT90" s="667"/>
      <c r="AU90" s="806"/>
      <c r="AV90" s="667"/>
      <c r="AW90" s="806"/>
      <c r="AX90" s="1224">
        <f t="shared" si="114"/>
        <v>0.3</v>
      </c>
      <c r="AY90" s="1225">
        <f t="shared" si="115"/>
        <v>3</v>
      </c>
      <c r="AZ90" s="970">
        <f t="shared" si="116"/>
        <v>1</v>
      </c>
      <c r="BA90" s="970">
        <f t="shared" si="117"/>
        <v>1</v>
      </c>
      <c r="BB90" s="652"/>
      <c r="BC90" s="684"/>
      <c r="BD90" s="652"/>
      <c r="BE90" s="667" t="s">
        <v>587</v>
      </c>
      <c r="BF90" s="668" t="s">
        <v>562</v>
      </c>
      <c r="BI90" s="1287" t="s">
        <v>1211</v>
      </c>
      <c r="BJ90" s="1049" t="s">
        <v>1210</v>
      </c>
      <c r="BK90" s="491"/>
      <c r="BL90" s="570"/>
      <c r="BM90" s="1286"/>
    </row>
    <row r="91" spans="1:65" s="980" customFormat="1" ht="33.75">
      <c r="A91" s="1525"/>
      <c r="B91" s="1526"/>
      <c r="C91" s="424" t="s">
        <v>525</v>
      </c>
      <c r="D91" s="1207">
        <f t="shared" si="96"/>
        <v>19</v>
      </c>
      <c r="E91" s="1207">
        <f t="shared" si="97"/>
        <v>3</v>
      </c>
      <c r="F91" s="1207">
        <f t="shared" si="98"/>
        <v>16</v>
      </c>
      <c r="G91" s="1281">
        <f t="shared" si="99"/>
        <v>3</v>
      </c>
      <c r="H91" s="1281">
        <f t="shared" si="99"/>
        <v>8</v>
      </c>
      <c r="I91" s="1224">
        <f t="shared" si="100"/>
        <v>0.625</v>
      </c>
      <c r="J91" s="1225">
        <f t="shared" si="101"/>
        <v>5</v>
      </c>
      <c r="K91" s="970">
        <f t="shared" si="102"/>
        <v>1</v>
      </c>
      <c r="L91" s="1282">
        <f t="shared" si="103"/>
        <v>2</v>
      </c>
      <c r="M91" s="684" t="s">
        <v>562</v>
      </c>
      <c r="N91" s="684"/>
      <c r="O91" s="684" t="s">
        <v>562</v>
      </c>
      <c r="P91" s="668" t="s">
        <v>587</v>
      </c>
      <c r="Q91" s="1224">
        <f t="shared" si="104"/>
        <v>0.6875</v>
      </c>
      <c r="R91" s="1225">
        <f t="shared" si="105"/>
        <v>11</v>
      </c>
      <c r="S91" s="976">
        <f t="shared" si="106"/>
        <v>1</v>
      </c>
      <c r="T91" s="970">
        <f t="shared" si="107"/>
        <v>5</v>
      </c>
      <c r="U91" s="684" t="s">
        <v>562</v>
      </c>
      <c r="V91" s="652" t="s">
        <v>587</v>
      </c>
      <c r="W91" s="684" t="s">
        <v>562</v>
      </c>
      <c r="X91" s="684"/>
      <c r="Y91" s="652" t="s">
        <v>562</v>
      </c>
      <c r="Z91" s="684" t="s">
        <v>562</v>
      </c>
      <c r="AA91" s="1283"/>
      <c r="AB91" s="684" t="s">
        <v>562</v>
      </c>
      <c r="AC91" s="1244"/>
      <c r="AD91" s="1244"/>
      <c r="AE91" s="970">
        <f t="shared" si="108"/>
        <v>0</v>
      </c>
      <c r="AF91" s="970">
        <f t="shared" si="109"/>
        <v>0</v>
      </c>
      <c r="AG91" s="684"/>
      <c r="AH91" s="667"/>
      <c r="AI91" s="667"/>
      <c r="AJ91" s="806"/>
      <c r="AK91" s="1284"/>
      <c r="AL91" s="1285"/>
      <c r="AM91" s="1224">
        <f t="shared" si="110"/>
        <v>0</v>
      </c>
      <c r="AN91" s="1225">
        <f t="shared" si="111"/>
        <v>0</v>
      </c>
      <c r="AO91" s="970">
        <f t="shared" si="112"/>
        <v>0</v>
      </c>
      <c r="AP91" s="970">
        <f t="shared" si="113"/>
        <v>0</v>
      </c>
      <c r="AQ91" s="667"/>
      <c r="AR91" s="667"/>
      <c r="AS91" s="667"/>
      <c r="AT91" s="667"/>
      <c r="AU91" s="806"/>
      <c r="AV91" s="667"/>
      <c r="AW91" s="806"/>
      <c r="AX91" s="1224">
        <f t="shared" si="114"/>
        <v>0.3</v>
      </c>
      <c r="AY91" s="1225">
        <f t="shared" si="115"/>
        <v>3</v>
      </c>
      <c r="AZ91" s="970">
        <f t="shared" si="116"/>
        <v>1</v>
      </c>
      <c r="BA91" s="970">
        <f t="shared" si="117"/>
        <v>1</v>
      </c>
      <c r="BB91" s="652"/>
      <c r="BC91" s="684"/>
      <c r="BD91" s="652"/>
      <c r="BE91" s="667" t="s">
        <v>587</v>
      </c>
      <c r="BF91" s="668" t="s">
        <v>562</v>
      </c>
      <c r="BI91" s="1287" t="s">
        <v>1209</v>
      </c>
      <c r="BJ91" s="1049" t="s">
        <v>1208</v>
      </c>
      <c r="BK91" s="491"/>
      <c r="BL91" s="570"/>
      <c r="BM91" s="1286"/>
    </row>
    <row r="92" spans="1:65" s="980" customFormat="1" ht="12.75">
      <c r="A92" s="1507" t="s">
        <v>589</v>
      </c>
      <c r="B92" s="1510" t="s">
        <v>988</v>
      </c>
      <c r="C92" s="424" t="s">
        <v>1040</v>
      </c>
      <c r="D92" s="1207">
        <f t="shared" si="96"/>
        <v>22</v>
      </c>
      <c r="E92" s="1207">
        <f t="shared" si="97"/>
        <v>2</v>
      </c>
      <c r="F92" s="1207">
        <f t="shared" si="98"/>
        <v>20</v>
      </c>
      <c r="G92" s="1281">
        <f t="shared" si="99"/>
        <v>2</v>
      </c>
      <c r="H92" s="1281">
        <f t="shared" si="99"/>
        <v>10</v>
      </c>
      <c r="I92" s="1224">
        <f t="shared" si="100"/>
        <v>0.75</v>
      </c>
      <c r="J92" s="1225">
        <f t="shared" si="101"/>
        <v>6</v>
      </c>
      <c r="K92" s="970">
        <f t="shared" si="102"/>
        <v>0</v>
      </c>
      <c r="L92" s="1282">
        <f t="shared" si="103"/>
        <v>3</v>
      </c>
      <c r="M92" s="684" t="s">
        <v>562</v>
      </c>
      <c r="N92" s="684"/>
      <c r="O92" s="684" t="s">
        <v>562</v>
      </c>
      <c r="P92" s="668" t="s">
        <v>562</v>
      </c>
      <c r="Q92" s="1224">
        <f t="shared" si="104"/>
        <v>0.6875</v>
      </c>
      <c r="R92" s="1225">
        <f t="shared" si="105"/>
        <v>11</v>
      </c>
      <c r="S92" s="976">
        <f t="shared" si="106"/>
        <v>1</v>
      </c>
      <c r="T92" s="970">
        <f t="shared" si="107"/>
        <v>5</v>
      </c>
      <c r="U92" s="684" t="s">
        <v>587</v>
      </c>
      <c r="V92" s="652" t="s">
        <v>562</v>
      </c>
      <c r="W92" s="684" t="s">
        <v>562</v>
      </c>
      <c r="X92" s="684"/>
      <c r="Y92" s="652" t="s">
        <v>562</v>
      </c>
      <c r="Z92" s="684" t="s">
        <v>562</v>
      </c>
      <c r="AA92" s="1283"/>
      <c r="AB92" s="684" t="s">
        <v>562</v>
      </c>
      <c r="AC92" s="1244"/>
      <c r="AD92" s="1244"/>
      <c r="AE92" s="970">
        <f t="shared" si="108"/>
        <v>0</v>
      </c>
      <c r="AF92" s="970">
        <f t="shared" si="109"/>
        <v>0</v>
      </c>
      <c r="AG92" s="684"/>
      <c r="AH92" s="667"/>
      <c r="AI92" s="667"/>
      <c r="AJ92" s="806"/>
      <c r="AK92" s="1284"/>
      <c r="AL92" s="1285"/>
      <c r="AM92" s="1224">
        <f t="shared" si="110"/>
        <v>0</v>
      </c>
      <c r="AN92" s="1225">
        <f t="shared" si="111"/>
        <v>0</v>
      </c>
      <c r="AO92" s="970">
        <f t="shared" si="112"/>
        <v>0</v>
      </c>
      <c r="AP92" s="970">
        <f t="shared" si="113"/>
        <v>0</v>
      </c>
      <c r="AQ92" s="667"/>
      <c r="AR92" s="667"/>
      <c r="AS92" s="667"/>
      <c r="AT92" s="667"/>
      <c r="AU92" s="806"/>
      <c r="AV92" s="667"/>
      <c r="AW92" s="806"/>
      <c r="AX92" s="1224">
        <f t="shared" si="114"/>
        <v>0.5</v>
      </c>
      <c r="AY92" s="1225">
        <f t="shared" si="115"/>
        <v>5</v>
      </c>
      <c r="AZ92" s="970">
        <f t="shared" si="116"/>
        <v>1</v>
      </c>
      <c r="BA92" s="970">
        <f t="shared" si="117"/>
        <v>2</v>
      </c>
      <c r="BB92" s="652"/>
      <c r="BC92" s="684" t="s">
        <v>587</v>
      </c>
      <c r="BD92" s="652"/>
      <c r="BE92" s="667" t="s">
        <v>562</v>
      </c>
      <c r="BF92" s="668" t="s">
        <v>562</v>
      </c>
      <c r="BI92" s="1513" t="s">
        <v>1207</v>
      </c>
      <c r="BJ92" s="1516" t="s">
        <v>1413</v>
      </c>
      <c r="BK92" s="491"/>
      <c r="BL92" s="570"/>
      <c r="BM92" s="1286"/>
    </row>
    <row r="93" spans="1:65" s="980" customFormat="1" ht="12.75">
      <c r="A93" s="1508"/>
      <c r="B93" s="1511"/>
      <c r="C93" s="424" t="s">
        <v>437</v>
      </c>
      <c r="D93" s="1207">
        <f t="shared" si="96"/>
        <v>24</v>
      </c>
      <c r="E93" s="1207">
        <f t="shared" si="97"/>
        <v>2</v>
      </c>
      <c r="F93" s="1207">
        <f t="shared" si="98"/>
        <v>22</v>
      </c>
      <c r="G93" s="1281">
        <f t="shared" si="99"/>
        <v>2</v>
      </c>
      <c r="H93" s="1281">
        <f t="shared" si="99"/>
        <v>11</v>
      </c>
      <c r="I93" s="1224">
        <f t="shared" si="100"/>
        <v>0.75</v>
      </c>
      <c r="J93" s="1225">
        <f t="shared" si="101"/>
        <v>6</v>
      </c>
      <c r="K93" s="970">
        <f t="shared" si="102"/>
        <v>0</v>
      </c>
      <c r="L93" s="1282">
        <f t="shared" si="103"/>
        <v>3</v>
      </c>
      <c r="M93" s="684" t="s">
        <v>562</v>
      </c>
      <c r="N93" s="684"/>
      <c r="O93" s="684" t="s">
        <v>562</v>
      </c>
      <c r="P93" s="668" t="s">
        <v>562</v>
      </c>
      <c r="Q93" s="1224">
        <f t="shared" si="104"/>
        <v>0.6875</v>
      </c>
      <c r="R93" s="1225">
        <f t="shared" si="105"/>
        <v>11</v>
      </c>
      <c r="S93" s="976">
        <f t="shared" si="106"/>
        <v>1</v>
      </c>
      <c r="T93" s="970">
        <f t="shared" si="107"/>
        <v>5</v>
      </c>
      <c r="U93" s="684" t="s">
        <v>587</v>
      </c>
      <c r="V93" s="652" t="s">
        <v>562</v>
      </c>
      <c r="W93" s="684" t="s">
        <v>562</v>
      </c>
      <c r="X93" s="684"/>
      <c r="Y93" s="652" t="s">
        <v>562</v>
      </c>
      <c r="Z93" s="684" t="s">
        <v>562</v>
      </c>
      <c r="AA93" s="1283"/>
      <c r="AB93" s="684" t="s">
        <v>562</v>
      </c>
      <c r="AC93" s="1244"/>
      <c r="AD93" s="1244"/>
      <c r="AE93" s="970">
        <f t="shared" si="108"/>
        <v>0</v>
      </c>
      <c r="AF93" s="970">
        <f t="shared" si="109"/>
        <v>0</v>
      </c>
      <c r="AG93" s="684"/>
      <c r="AH93" s="667"/>
      <c r="AI93" s="667"/>
      <c r="AJ93" s="806"/>
      <c r="AK93" s="1284"/>
      <c r="AL93" s="1285"/>
      <c r="AM93" s="1224">
        <f t="shared" si="110"/>
        <v>0</v>
      </c>
      <c r="AN93" s="1225">
        <f t="shared" si="111"/>
        <v>0</v>
      </c>
      <c r="AO93" s="970">
        <f t="shared" si="112"/>
        <v>0</v>
      </c>
      <c r="AP93" s="970">
        <f t="shared" si="113"/>
        <v>0</v>
      </c>
      <c r="AQ93" s="667"/>
      <c r="AR93" s="667"/>
      <c r="AS93" s="667"/>
      <c r="AT93" s="667"/>
      <c r="AU93" s="806"/>
      <c r="AV93" s="667"/>
      <c r="AW93" s="806"/>
      <c r="AX93" s="1224">
        <f t="shared" si="114"/>
        <v>0.7</v>
      </c>
      <c r="AY93" s="1225">
        <f t="shared" si="115"/>
        <v>7</v>
      </c>
      <c r="AZ93" s="970">
        <f t="shared" si="116"/>
        <v>1</v>
      </c>
      <c r="BA93" s="970">
        <f t="shared" si="117"/>
        <v>3</v>
      </c>
      <c r="BB93" s="652"/>
      <c r="BC93" s="684" t="s">
        <v>587</v>
      </c>
      <c r="BD93" s="652" t="s">
        <v>562</v>
      </c>
      <c r="BE93" s="667" t="s">
        <v>562</v>
      </c>
      <c r="BF93" s="668" t="s">
        <v>562</v>
      </c>
      <c r="BI93" s="1514"/>
      <c r="BJ93" s="1517"/>
      <c r="BK93" s="491"/>
      <c r="BL93" s="570"/>
      <c r="BM93" s="1286"/>
    </row>
    <row r="94" spans="1:65" s="980" customFormat="1" ht="12.75">
      <c r="A94" s="1508"/>
      <c r="B94" s="1511"/>
      <c r="C94" s="424" t="s">
        <v>445</v>
      </c>
      <c r="D94" s="1207">
        <f t="shared" si="96"/>
        <v>24</v>
      </c>
      <c r="E94" s="1207">
        <f t="shared" si="97"/>
        <v>2</v>
      </c>
      <c r="F94" s="1207">
        <f t="shared" si="98"/>
        <v>22</v>
      </c>
      <c r="G94" s="1281">
        <f t="shared" si="99"/>
        <v>2</v>
      </c>
      <c r="H94" s="1281">
        <f t="shared" si="99"/>
        <v>11</v>
      </c>
      <c r="I94" s="1224">
        <f t="shared" si="100"/>
        <v>0.75</v>
      </c>
      <c r="J94" s="1225">
        <f t="shared" si="101"/>
        <v>6</v>
      </c>
      <c r="K94" s="970">
        <f t="shared" si="102"/>
        <v>0</v>
      </c>
      <c r="L94" s="1282">
        <f t="shared" si="103"/>
        <v>3</v>
      </c>
      <c r="M94" s="684" t="s">
        <v>562</v>
      </c>
      <c r="N94" s="684"/>
      <c r="O94" s="684" t="s">
        <v>562</v>
      </c>
      <c r="P94" s="668" t="s">
        <v>562</v>
      </c>
      <c r="Q94" s="1224">
        <f t="shared" si="104"/>
        <v>0.6875</v>
      </c>
      <c r="R94" s="1225">
        <f t="shared" si="105"/>
        <v>11</v>
      </c>
      <c r="S94" s="976">
        <f t="shared" si="106"/>
        <v>1</v>
      </c>
      <c r="T94" s="970">
        <f t="shared" si="107"/>
        <v>5</v>
      </c>
      <c r="U94" s="684" t="s">
        <v>587</v>
      </c>
      <c r="V94" s="652" t="s">
        <v>562</v>
      </c>
      <c r="W94" s="684" t="s">
        <v>562</v>
      </c>
      <c r="X94" s="684"/>
      <c r="Y94" s="652" t="s">
        <v>562</v>
      </c>
      <c r="Z94" s="684" t="s">
        <v>562</v>
      </c>
      <c r="AA94" s="1283"/>
      <c r="AB94" s="684" t="s">
        <v>562</v>
      </c>
      <c r="AC94" s="1244"/>
      <c r="AD94" s="1244"/>
      <c r="AE94" s="970">
        <f t="shared" si="108"/>
        <v>0</v>
      </c>
      <c r="AF94" s="970">
        <f t="shared" si="109"/>
        <v>0</v>
      </c>
      <c r="AG94" s="684"/>
      <c r="AH94" s="667"/>
      <c r="AI94" s="667"/>
      <c r="AJ94" s="806"/>
      <c r="AK94" s="1284"/>
      <c r="AL94" s="1285"/>
      <c r="AM94" s="1224">
        <f t="shared" si="110"/>
        <v>0</v>
      </c>
      <c r="AN94" s="1225">
        <f t="shared" si="111"/>
        <v>0</v>
      </c>
      <c r="AO94" s="970">
        <f t="shared" si="112"/>
        <v>0</v>
      </c>
      <c r="AP94" s="970">
        <f t="shared" si="113"/>
        <v>0</v>
      </c>
      <c r="AQ94" s="667"/>
      <c r="AR94" s="667"/>
      <c r="AS94" s="667"/>
      <c r="AT94" s="667"/>
      <c r="AU94" s="806"/>
      <c r="AV94" s="667"/>
      <c r="AW94" s="806"/>
      <c r="AX94" s="1224">
        <f t="shared" si="114"/>
        <v>0.7</v>
      </c>
      <c r="AY94" s="1225">
        <f t="shared" si="115"/>
        <v>7</v>
      </c>
      <c r="AZ94" s="970">
        <f t="shared" si="116"/>
        <v>1</v>
      </c>
      <c r="BA94" s="970">
        <f t="shared" si="117"/>
        <v>3</v>
      </c>
      <c r="BB94" s="652"/>
      <c r="BC94" s="684" t="s">
        <v>587</v>
      </c>
      <c r="BD94" s="652" t="s">
        <v>562</v>
      </c>
      <c r="BE94" s="667" t="s">
        <v>562</v>
      </c>
      <c r="BF94" s="668" t="s">
        <v>562</v>
      </c>
      <c r="BI94" s="1514"/>
      <c r="BJ94" s="1517"/>
      <c r="BK94" s="491"/>
      <c r="BL94" s="570"/>
      <c r="BM94" s="1286"/>
    </row>
    <row r="95" spans="1:65" s="980" customFormat="1" ht="12.75">
      <c r="A95" s="1508"/>
      <c r="B95" s="1511"/>
      <c r="C95" s="424" t="s">
        <v>1070</v>
      </c>
      <c r="D95" s="1207">
        <f t="shared" si="96"/>
        <v>24</v>
      </c>
      <c r="E95" s="1207">
        <f t="shared" si="97"/>
        <v>2</v>
      </c>
      <c r="F95" s="1207">
        <f t="shared" si="98"/>
        <v>22</v>
      </c>
      <c r="G95" s="1281">
        <f t="shared" si="99"/>
        <v>2</v>
      </c>
      <c r="H95" s="1281">
        <f t="shared" si="99"/>
        <v>11</v>
      </c>
      <c r="I95" s="1224">
        <f t="shared" si="100"/>
        <v>0.75</v>
      </c>
      <c r="J95" s="1225">
        <f t="shared" si="101"/>
        <v>6</v>
      </c>
      <c r="K95" s="970">
        <f t="shared" si="102"/>
        <v>0</v>
      </c>
      <c r="L95" s="1282">
        <f t="shared" si="103"/>
        <v>3</v>
      </c>
      <c r="M95" s="684" t="s">
        <v>562</v>
      </c>
      <c r="N95" s="684"/>
      <c r="O95" s="684" t="s">
        <v>562</v>
      </c>
      <c r="P95" s="668" t="s">
        <v>562</v>
      </c>
      <c r="Q95" s="1224">
        <f t="shared" si="104"/>
        <v>0.6875</v>
      </c>
      <c r="R95" s="1225">
        <f t="shared" si="105"/>
        <v>11</v>
      </c>
      <c r="S95" s="976">
        <f t="shared" si="106"/>
        <v>1</v>
      </c>
      <c r="T95" s="970">
        <f t="shared" si="107"/>
        <v>5</v>
      </c>
      <c r="U95" s="684" t="s">
        <v>587</v>
      </c>
      <c r="V95" s="652" t="s">
        <v>562</v>
      </c>
      <c r="W95" s="684" t="s">
        <v>562</v>
      </c>
      <c r="X95" s="684"/>
      <c r="Y95" s="652" t="s">
        <v>562</v>
      </c>
      <c r="Z95" s="684" t="s">
        <v>562</v>
      </c>
      <c r="AA95" s="1283"/>
      <c r="AB95" s="684" t="s">
        <v>562</v>
      </c>
      <c r="AC95" s="1244"/>
      <c r="AD95" s="1244"/>
      <c r="AE95" s="970">
        <f t="shared" si="108"/>
        <v>0</v>
      </c>
      <c r="AF95" s="970">
        <f t="shared" si="109"/>
        <v>0</v>
      </c>
      <c r="AG95" s="684"/>
      <c r="AH95" s="667"/>
      <c r="AI95" s="667"/>
      <c r="AJ95" s="806"/>
      <c r="AK95" s="1284"/>
      <c r="AL95" s="1285"/>
      <c r="AM95" s="1224">
        <f t="shared" si="110"/>
        <v>0</v>
      </c>
      <c r="AN95" s="1225">
        <f t="shared" si="111"/>
        <v>0</v>
      </c>
      <c r="AO95" s="970">
        <f t="shared" si="112"/>
        <v>0</v>
      </c>
      <c r="AP95" s="970">
        <f t="shared" si="113"/>
        <v>0</v>
      </c>
      <c r="AQ95" s="667"/>
      <c r="AR95" s="667"/>
      <c r="AS95" s="667"/>
      <c r="AT95" s="667"/>
      <c r="AU95" s="806"/>
      <c r="AV95" s="667"/>
      <c r="AW95" s="806"/>
      <c r="AX95" s="1224">
        <f t="shared" si="114"/>
        <v>0.7</v>
      </c>
      <c r="AY95" s="1225">
        <f t="shared" si="115"/>
        <v>7</v>
      </c>
      <c r="AZ95" s="970">
        <f t="shared" si="116"/>
        <v>1</v>
      </c>
      <c r="BA95" s="970">
        <f t="shared" si="117"/>
        <v>3</v>
      </c>
      <c r="BB95" s="652"/>
      <c r="BC95" s="684" t="s">
        <v>587</v>
      </c>
      <c r="BD95" s="652" t="s">
        <v>562</v>
      </c>
      <c r="BE95" s="667" t="s">
        <v>562</v>
      </c>
      <c r="BF95" s="668" t="s">
        <v>562</v>
      </c>
      <c r="BI95" s="1514"/>
      <c r="BJ95" s="1517"/>
      <c r="BK95" s="491"/>
      <c r="BL95" s="570"/>
      <c r="BM95" s="1286"/>
    </row>
    <row r="96" spans="1:65" s="980" customFormat="1" ht="12.75">
      <c r="A96" s="1509"/>
      <c r="B96" s="1512"/>
      <c r="C96" s="424" t="s">
        <v>441</v>
      </c>
      <c r="D96" s="1207">
        <f t="shared" si="96"/>
        <v>23</v>
      </c>
      <c r="E96" s="1207">
        <f t="shared" si="97"/>
        <v>1</v>
      </c>
      <c r="F96" s="1207">
        <f t="shared" si="98"/>
        <v>22</v>
      </c>
      <c r="G96" s="1281">
        <f t="shared" si="99"/>
        <v>1</v>
      </c>
      <c r="H96" s="1281">
        <f t="shared" si="99"/>
        <v>11</v>
      </c>
      <c r="I96" s="1224">
        <f t="shared" si="100"/>
        <v>0.75</v>
      </c>
      <c r="J96" s="1225">
        <f t="shared" si="101"/>
        <v>6</v>
      </c>
      <c r="K96" s="970">
        <f t="shared" si="102"/>
        <v>0</v>
      </c>
      <c r="L96" s="1282">
        <f t="shared" si="103"/>
        <v>3</v>
      </c>
      <c r="M96" s="684" t="s">
        <v>562</v>
      </c>
      <c r="N96" s="684"/>
      <c r="O96" s="684" t="s">
        <v>562</v>
      </c>
      <c r="P96" s="668" t="s">
        <v>562</v>
      </c>
      <c r="Q96" s="1224">
        <f t="shared" si="104"/>
        <v>0.6875</v>
      </c>
      <c r="R96" s="1225">
        <f t="shared" si="105"/>
        <v>11</v>
      </c>
      <c r="S96" s="976">
        <f t="shared" si="106"/>
        <v>1</v>
      </c>
      <c r="T96" s="970">
        <f t="shared" si="107"/>
        <v>5</v>
      </c>
      <c r="U96" s="684" t="s">
        <v>587</v>
      </c>
      <c r="V96" s="652" t="s">
        <v>562</v>
      </c>
      <c r="W96" s="684" t="s">
        <v>562</v>
      </c>
      <c r="X96" s="684"/>
      <c r="Y96" s="652" t="s">
        <v>562</v>
      </c>
      <c r="Z96" s="684" t="s">
        <v>562</v>
      </c>
      <c r="AA96" s="1283"/>
      <c r="AB96" s="684" t="s">
        <v>562</v>
      </c>
      <c r="AC96" s="1244"/>
      <c r="AD96" s="1244"/>
      <c r="AE96" s="970">
        <f t="shared" si="108"/>
        <v>0</v>
      </c>
      <c r="AF96" s="970">
        <f t="shared" si="109"/>
        <v>0</v>
      </c>
      <c r="AG96" s="684"/>
      <c r="AH96" s="667"/>
      <c r="AI96" s="667"/>
      <c r="AJ96" s="806"/>
      <c r="AK96" s="1284"/>
      <c r="AL96" s="1285"/>
      <c r="AM96" s="1224">
        <f t="shared" si="110"/>
        <v>0</v>
      </c>
      <c r="AN96" s="1225">
        <f t="shared" si="111"/>
        <v>0</v>
      </c>
      <c r="AO96" s="970">
        <f t="shared" si="112"/>
        <v>0</v>
      </c>
      <c r="AP96" s="970">
        <f t="shared" si="113"/>
        <v>0</v>
      </c>
      <c r="AQ96" s="667"/>
      <c r="AR96" s="667"/>
      <c r="AS96" s="667"/>
      <c r="AT96" s="667"/>
      <c r="AU96" s="806"/>
      <c r="AV96" s="667"/>
      <c r="AW96" s="806"/>
      <c r="AX96" s="1224">
        <f t="shared" si="114"/>
        <v>0.6</v>
      </c>
      <c r="AY96" s="1225">
        <f t="shared" si="115"/>
        <v>6</v>
      </c>
      <c r="AZ96" s="970">
        <f t="shared" si="116"/>
        <v>0</v>
      </c>
      <c r="BA96" s="970">
        <f t="shared" si="117"/>
        <v>3</v>
      </c>
      <c r="BB96" s="652"/>
      <c r="BC96" s="684"/>
      <c r="BD96" s="652" t="s">
        <v>562</v>
      </c>
      <c r="BE96" s="667" t="s">
        <v>562</v>
      </c>
      <c r="BF96" s="668" t="s">
        <v>562</v>
      </c>
      <c r="BI96" s="1515"/>
      <c r="BJ96" s="1518"/>
      <c r="BK96" s="491"/>
      <c r="BL96" s="570"/>
      <c r="BM96" s="1286"/>
    </row>
    <row r="97" spans="1:65" s="980" customFormat="1" ht="12.75">
      <c r="A97" s="970" t="s">
        <v>1589</v>
      </c>
      <c r="B97" s="981"/>
      <c r="C97" s="424"/>
      <c r="D97" s="571"/>
      <c r="E97" s="571"/>
      <c r="F97" s="571"/>
      <c r="G97" s="1281"/>
      <c r="H97" s="1281"/>
      <c r="I97" s="1251"/>
      <c r="J97" s="1251"/>
      <c r="K97" s="1288"/>
      <c r="L97" s="1288"/>
      <c r="M97" s="684">
        <f>COUNTIF(M83:M96, "M")</f>
        <v>0</v>
      </c>
      <c r="N97" s="684">
        <f t="shared" ref="N97:BF97" si="118">COUNTIF(N83:N96, "M")</f>
        <v>0</v>
      </c>
      <c r="O97" s="684">
        <f t="shared" si="118"/>
        <v>1</v>
      </c>
      <c r="P97" s="668">
        <f t="shared" si="118"/>
        <v>1</v>
      </c>
      <c r="Q97" s="1252"/>
      <c r="R97" s="286"/>
      <c r="S97" s="652"/>
      <c r="T97" s="684"/>
      <c r="U97" s="684">
        <f t="shared" si="118"/>
        <v>6</v>
      </c>
      <c r="V97" s="684">
        <f t="shared" si="118"/>
        <v>5</v>
      </c>
      <c r="W97" s="684">
        <f t="shared" si="118"/>
        <v>0</v>
      </c>
      <c r="X97" s="684">
        <f t="shared" si="118"/>
        <v>0</v>
      </c>
      <c r="Y97" s="684">
        <f t="shared" si="118"/>
        <v>1</v>
      </c>
      <c r="Z97" s="684">
        <f t="shared" si="118"/>
        <v>0</v>
      </c>
      <c r="AA97" s="684">
        <f t="shared" si="118"/>
        <v>0</v>
      </c>
      <c r="AB97" s="684">
        <f t="shared" si="118"/>
        <v>1</v>
      </c>
      <c r="AC97" s="1252"/>
      <c r="AD97" s="1252"/>
      <c r="AE97" s="684"/>
      <c r="AF97" s="684"/>
      <c r="AG97" s="684">
        <f t="shared" si="118"/>
        <v>0</v>
      </c>
      <c r="AH97" s="684">
        <f t="shared" si="118"/>
        <v>0</v>
      </c>
      <c r="AI97" s="684">
        <f t="shared" si="118"/>
        <v>0</v>
      </c>
      <c r="AJ97" s="684">
        <f t="shared" si="118"/>
        <v>0</v>
      </c>
      <c r="AK97" s="684">
        <f t="shared" si="118"/>
        <v>0</v>
      </c>
      <c r="AL97" s="684">
        <f t="shared" si="118"/>
        <v>0</v>
      </c>
      <c r="AM97" s="1252"/>
      <c r="AN97" s="1252"/>
      <c r="AO97" s="684"/>
      <c r="AP97" s="684"/>
      <c r="AQ97" s="684">
        <f t="shared" si="118"/>
        <v>0</v>
      </c>
      <c r="AR97" s="684">
        <f t="shared" si="118"/>
        <v>0</v>
      </c>
      <c r="AS97" s="684">
        <f t="shared" si="118"/>
        <v>0</v>
      </c>
      <c r="AT97" s="684">
        <f t="shared" si="118"/>
        <v>0</v>
      </c>
      <c r="AU97" s="684">
        <f t="shared" si="118"/>
        <v>0</v>
      </c>
      <c r="AV97" s="684">
        <f t="shared" si="118"/>
        <v>0</v>
      </c>
      <c r="AW97" s="684">
        <f t="shared" si="118"/>
        <v>0</v>
      </c>
      <c r="AX97" s="1252"/>
      <c r="AY97" s="1252"/>
      <c r="AZ97" s="684"/>
      <c r="BA97" s="684"/>
      <c r="BB97" s="684">
        <f t="shared" si="118"/>
        <v>0</v>
      </c>
      <c r="BC97" s="684">
        <f t="shared" si="118"/>
        <v>4</v>
      </c>
      <c r="BD97" s="684">
        <f t="shared" si="118"/>
        <v>0</v>
      </c>
      <c r="BE97" s="684">
        <f t="shared" si="118"/>
        <v>9</v>
      </c>
      <c r="BF97" s="684">
        <f t="shared" si="118"/>
        <v>0</v>
      </c>
      <c r="BI97" s="1289"/>
      <c r="BJ97" s="978"/>
      <c r="BK97" s="570"/>
      <c r="BL97" s="570"/>
      <c r="BM97" s="1286"/>
    </row>
    <row r="98" spans="1:65" s="980" customFormat="1" ht="12.75">
      <c r="A98" s="970" t="s">
        <v>1590</v>
      </c>
      <c r="B98" s="981"/>
      <c r="C98" s="424"/>
      <c r="D98" s="571"/>
      <c r="E98" s="571"/>
      <c r="F98" s="571"/>
      <c r="G98" s="1281"/>
      <c r="H98" s="1281"/>
      <c r="I98" s="1251"/>
      <c r="J98" s="1251"/>
      <c r="K98" s="1288"/>
      <c r="L98" s="1288"/>
      <c r="M98" s="684">
        <f>COUNTIF(M84:M97, "H")</f>
        <v>13</v>
      </c>
      <c r="N98" s="684">
        <f t="shared" ref="N98:BF98" si="119">COUNTIF(N84:N97, "H")</f>
        <v>7</v>
      </c>
      <c r="O98" s="684">
        <f t="shared" si="119"/>
        <v>12</v>
      </c>
      <c r="P98" s="668">
        <f t="shared" si="119"/>
        <v>5</v>
      </c>
      <c r="Q98" s="1252"/>
      <c r="R98" s="286"/>
      <c r="S98" s="652"/>
      <c r="T98" s="684"/>
      <c r="U98" s="684">
        <f t="shared" si="119"/>
        <v>3</v>
      </c>
      <c r="V98" s="684">
        <f t="shared" si="119"/>
        <v>7</v>
      </c>
      <c r="W98" s="684">
        <f t="shared" si="119"/>
        <v>13</v>
      </c>
      <c r="X98" s="684">
        <f t="shared" si="119"/>
        <v>0</v>
      </c>
      <c r="Y98" s="684">
        <f t="shared" si="119"/>
        <v>12</v>
      </c>
      <c r="Z98" s="684">
        <f t="shared" si="119"/>
        <v>12</v>
      </c>
      <c r="AA98" s="684">
        <f t="shared" si="119"/>
        <v>0</v>
      </c>
      <c r="AB98" s="684">
        <f t="shared" si="119"/>
        <v>12</v>
      </c>
      <c r="AC98" s="1252"/>
      <c r="AD98" s="1252"/>
      <c r="AE98" s="684"/>
      <c r="AF98" s="684"/>
      <c r="AG98" s="684">
        <f t="shared" si="119"/>
        <v>0</v>
      </c>
      <c r="AH98" s="684">
        <f t="shared" si="119"/>
        <v>0</v>
      </c>
      <c r="AI98" s="684">
        <f t="shared" si="119"/>
        <v>0</v>
      </c>
      <c r="AJ98" s="684">
        <f t="shared" si="119"/>
        <v>0</v>
      </c>
      <c r="AK98" s="684">
        <f t="shared" si="119"/>
        <v>0</v>
      </c>
      <c r="AL98" s="684">
        <f t="shared" si="119"/>
        <v>0</v>
      </c>
      <c r="AM98" s="1252"/>
      <c r="AN98" s="1252"/>
      <c r="AO98" s="684"/>
      <c r="AP98" s="684"/>
      <c r="AQ98" s="684">
        <f t="shared" si="119"/>
        <v>0</v>
      </c>
      <c r="AR98" s="684">
        <f t="shared" si="119"/>
        <v>0</v>
      </c>
      <c r="AS98" s="684">
        <f t="shared" si="119"/>
        <v>0</v>
      </c>
      <c r="AT98" s="684">
        <f t="shared" si="119"/>
        <v>0</v>
      </c>
      <c r="AU98" s="684">
        <f t="shared" si="119"/>
        <v>0</v>
      </c>
      <c r="AV98" s="684">
        <f t="shared" si="119"/>
        <v>0</v>
      </c>
      <c r="AW98" s="684">
        <f t="shared" si="119"/>
        <v>0</v>
      </c>
      <c r="AX98" s="1252"/>
      <c r="AY98" s="1252"/>
      <c r="AZ98" s="684"/>
      <c r="BA98" s="684"/>
      <c r="BB98" s="684">
        <f t="shared" si="119"/>
        <v>0</v>
      </c>
      <c r="BC98" s="684">
        <f t="shared" si="119"/>
        <v>0</v>
      </c>
      <c r="BD98" s="684">
        <f t="shared" si="119"/>
        <v>4</v>
      </c>
      <c r="BE98" s="684">
        <f t="shared" si="119"/>
        <v>5</v>
      </c>
      <c r="BF98" s="684">
        <f t="shared" si="119"/>
        <v>13</v>
      </c>
      <c r="BI98" s="1289"/>
      <c r="BJ98" s="978"/>
      <c r="BK98" s="570"/>
      <c r="BL98" s="570"/>
      <c r="BM98" s="1286"/>
    </row>
    <row r="99" spans="1:65" s="590" customFormat="1" ht="45">
      <c r="A99" s="1519" t="s">
        <v>1065</v>
      </c>
      <c r="B99" s="1520" t="s">
        <v>989</v>
      </c>
      <c r="C99" s="422" t="s">
        <v>1045</v>
      </c>
      <c r="D99" s="1207">
        <f t="shared" ref="D99:D111" si="120">E99+F99</f>
        <v>10</v>
      </c>
      <c r="E99" s="1207">
        <f t="shared" ref="E99:E111" si="121">G99*1</f>
        <v>8</v>
      </c>
      <c r="F99" s="1207">
        <f t="shared" ref="F99:F111" si="122">H99*2</f>
        <v>2</v>
      </c>
      <c r="G99" s="1253">
        <f t="shared" ref="G99:H111" si="123">SUM(K99+S99+AE99+AO99+AZ99)</f>
        <v>8</v>
      </c>
      <c r="H99" s="1253">
        <f t="shared" si="123"/>
        <v>1</v>
      </c>
      <c r="I99" s="1224">
        <f t="shared" ref="I99:I111" si="124">J99/8</f>
        <v>0.375</v>
      </c>
      <c r="J99" s="1225">
        <f t="shared" ref="J99:J111" si="125">K99+(L99*2)</f>
        <v>3</v>
      </c>
      <c r="K99" s="932">
        <f t="shared" ref="K99:K111" si="126">COUNTIF(M99:P99, "M")</f>
        <v>3</v>
      </c>
      <c r="L99" s="1254">
        <f t="shared" ref="L99:L111" si="127">COUNTIF(M99:P99, "H")</f>
        <v>0</v>
      </c>
      <c r="M99" s="681" t="s">
        <v>587</v>
      </c>
      <c r="N99" s="681"/>
      <c r="O99" s="681" t="s">
        <v>587</v>
      </c>
      <c r="P99" s="663" t="s">
        <v>587</v>
      </c>
      <c r="Q99" s="1224">
        <f t="shared" ref="Q99:Q111" si="128">R99/16</f>
        <v>0.25</v>
      </c>
      <c r="R99" s="1225">
        <f t="shared" ref="R99:R111" si="129">S99+(T99*2)</f>
        <v>4</v>
      </c>
      <c r="S99" s="940">
        <f t="shared" ref="S99:S131" si="130">COUNTIF(U99:AB99, "M")</f>
        <v>2</v>
      </c>
      <c r="T99" s="932">
        <f t="shared" ref="T99:T131" si="131">COUNTIF(U99:AB99, "H")</f>
        <v>1</v>
      </c>
      <c r="U99" s="681"/>
      <c r="V99" s="649" t="s">
        <v>587</v>
      </c>
      <c r="W99" s="681" t="s">
        <v>562</v>
      </c>
      <c r="X99" s="681"/>
      <c r="Y99" s="649" t="s">
        <v>587</v>
      </c>
      <c r="Z99" s="681"/>
      <c r="AA99" s="1255"/>
      <c r="AB99" s="681"/>
      <c r="AC99" s="1244"/>
      <c r="AD99" s="1244"/>
      <c r="AE99" s="932">
        <f t="shared" ref="AE99:AE111" si="132">COUNTIF(AG99:AL99, "M")</f>
        <v>0</v>
      </c>
      <c r="AF99" s="932">
        <f t="shared" ref="AF99:AF111" si="133">COUNTIF(AG99:AL99, "H")</f>
        <v>0</v>
      </c>
      <c r="AG99" s="681"/>
      <c r="AH99" s="662"/>
      <c r="AI99" s="662"/>
      <c r="AJ99" s="803"/>
      <c r="AK99" s="1256"/>
      <c r="AL99" s="1257"/>
      <c r="AM99" s="1224">
        <f t="shared" ref="AM99:AM111" si="134">AN99/14</f>
        <v>7.1428571428571425E-2</v>
      </c>
      <c r="AN99" s="1225">
        <f t="shared" ref="AN99:AN111" si="135">AO99+(AP99*2)</f>
        <v>1</v>
      </c>
      <c r="AO99" s="932">
        <f t="shared" ref="AO99:AO111" si="136">COUNTIF(AQ99:AW99, "M")</f>
        <v>1</v>
      </c>
      <c r="AP99" s="932">
        <f t="shared" ref="AP99:AP111" si="137">COUNTIF(AQ99:AW99, "H")</f>
        <v>0</v>
      </c>
      <c r="AQ99" s="662" t="s">
        <v>587</v>
      </c>
      <c r="AR99" s="662"/>
      <c r="AS99" s="662"/>
      <c r="AT99" s="662"/>
      <c r="AU99" s="803"/>
      <c r="AV99" s="662"/>
      <c r="AW99" s="803"/>
      <c r="AX99" s="1224">
        <f t="shared" ref="AX99:AX111" si="138">AY99/10</f>
        <v>0.2</v>
      </c>
      <c r="AY99" s="1225">
        <f t="shared" ref="AY99:AY111" si="139">AZ99+(BA99*2)</f>
        <v>2</v>
      </c>
      <c r="AZ99" s="932">
        <f t="shared" si="116"/>
        <v>2</v>
      </c>
      <c r="BA99" s="932">
        <f t="shared" si="117"/>
        <v>0</v>
      </c>
      <c r="BB99" s="649"/>
      <c r="BC99" s="681"/>
      <c r="BD99" s="649"/>
      <c r="BE99" s="662" t="s">
        <v>587</v>
      </c>
      <c r="BF99" s="663" t="s">
        <v>587</v>
      </c>
      <c r="BI99" s="1258" t="s">
        <v>1206</v>
      </c>
      <c r="BJ99" s="494" t="s">
        <v>1205</v>
      </c>
      <c r="BK99" s="538"/>
      <c r="BL99" s="406"/>
      <c r="BM99" s="1259"/>
    </row>
    <row r="100" spans="1:65" s="590" customFormat="1" ht="38.25">
      <c r="A100" s="1519"/>
      <c r="B100" s="1521"/>
      <c r="C100" s="422" t="s">
        <v>1042</v>
      </c>
      <c r="D100" s="1207">
        <f t="shared" si="120"/>
        <v>4</v>
      </c>
      <c r="E100" s="1207">
        <f t="shared" si="121"/>
        <v>4</v>
      </c>
      <c r="F100" s="1207">
        <f t="shared" si="122"/>
        <v>0</v>
      </c>
      <c r="G100" s="1253">
        <f t="shared" si="123"/>
        <v>4</v>
      </c>
      <c r="H100" s="1253">
        <f t="shared" si="123"/>
        <v>0</v>
      </c>
      <c r="I100" s="1224">
        <f t="shared" si="124"/>
        <v>0.125</v>
      </c>
      <c r="J100" s="1225">
        <f t="shared" si="125"/>
        <v>1</v>
      </c>
      <c r="K100" s="932">
        <f t="shared" si="126"/>
        <v>1</v>
      </c>
      <c r="L100" s="1254">
        <f t="shared" si="127"/>
        <v>0</v>
      </c>
      <c r="M100" s="681"/>
      <c r="N100" s="681"/>
      <c r="O100" s="681" t="s">
        <v>587</v>
      </c>
      <c r="P100" s="663"/>
      <c r="Q100" s="1224">
        <f t="shared" si="128"/>
        <v>6.25E-2</v>
      </c>
      <c r="R100" s="1225">
        <f t="shared" si="129"/>
        <v>1</v>
      </c>
      <c r="S100" s="940">
        <f t="shared" si="130"/>
        <v>1</v>
      </c>
      <c r="T100" s="932">
        <f t="shared" si="131"/>
        <v>0</v>
      </c>
      <c r="U100" s="681"/>
      <c r="V100" s="649"/>
      <c r="W100" s="681"/>
      <c r="X100" s="681"/>
      <c r="Y100" s="649" t="s">
        <v>587</v>
      </c>
      <c r="Z100" s="681"/>
      <c r="AA100" s="1255"/>
      <c r="AB100" s="681"/>
      <c r="AC100" s="1244"/>
      <c r="AD100" s="1244"/>
      <c r="AE100" s="932">
        <f t="shared" si="132"/>
        <v>0</v>
      </c>
      <c r="AF100" s="932">
        <f t="shared" si="133"/>
        <v>0</v>
      </c>
      <c r="AG100" s="681"/>
      <c r="AH100" s="662"/>
      <c r="AI100" s="662"/>
      <c r="AJ100" s="803"/>
      <c r="AK100" s="1256"/>
      <c r="AL100" s="1257"/>
      <c r="AM100" s="1224">
        <f t="shared" si="134"/>
        <v>0</v>
      </c>
      <c r="AN100" s="1225">
        <f t="shared" si="135"/>
        <v>0</v>
      </c>
      <c r="AO100" s="932">
        <f t="shared" si="136"/>
        <v>0</v>
      </c>
      <c r="AP100" s="932">
        <f t="shared" si="137"/>
        <v>0</v>
      </c>
      <c r="AQ100" s="662"/>
      <c r="AR100" s="662"/>
      <c r="AS100" s="662"/>
      <c r="AT100" s="662"/>
      <c r="AU100" s="803"/>
      <c r="AV100" s="662"/>
      <c r="AW100" s="803"/>
      <c r="AX100" s="1224">
        <f t="shared" si="138"/>
        <v>0.2</v>
      </c>
      <c r="AY100" s="1225">
        <f t="shared" si="139"/>
        <v>2</v>
      </c>
      <c r="AZ100" s="932">
        <f t="shared" si="116"/>
        <v>2</v>
      </c>
      <c r="BA100" s="932">
        <f t="shared" si="117"/>
        <v>0</v>
      </c>
      <c r="BB100" s="649"/>
      <c r="BC100" s="681"/>
      <c r="BD100" s="649"/>
      <c r="BE100" s="662" t="s">
        <v>587</v>
      </c>
      <c r="BF100" s="663" t="s">
        <v>587</v>
      </c>
      <c r="BI100" s="1258"/>
      <c r="BJ100" s="494" t="s">
        <v>1414</v>
      </c>
      <c r="BK100" s="538"/>
      <c r="BL100" s="406"/>
      <c r="BM100" s="1259"/>
    </row>
    <row r="101" spans="1:65" s="590" customFormat="1" ht="12.75">
      <c r="A101" s="1519"/>
      <c r="B101" s="1521"/>
      <c r="C101" s="422" t="s">
        <v>1044</v>
      </c>
      <c r="D101" s="1207">
        <f t="shared" si="120"/>
        <v>8</v>
      </c>
      <c r="E101" s="1207">
        <f t="shared" si="121"/>
        <v>4</v>
      </c>
      <c r="F101" s="1207">
        <f t="shared" si="122"/>
        <v>4</v>
      </c>
      <c r="G101" s="1253">
        <f t="shared" si="123"/>
        <v>4</v>
      </c>
      <c r="H101" s="1253">
        <f t="shared" si="123"/>
        <v>2</v>
      </c>
      <c r="I101" s="1224">
        <f t="shared" si="124"/>
        <v>0.125</v>
      </c>
      <c r="J101" s="1225">
        <f t="shared" si="125"/>
        <v>1</v>
      </c>
      <c r="K101" s="932">
        <f t="shared" si="126"/>
        <v>1</v>
      </c>
      <c r="L101" s="1254">
        <f t="shared" si="127"/>
        <v>0</v>
      </c>
      <c r="M101" s="681"/>
      <c r="N101" s="681"/>
      <c r="O101" s="681" t="s">
        <v>587</v>
      </c>
      <c r="P101" s="663"/>
      <c r="Q101" s="1224">
        <f t="shared" si="128"/>
        <v>6.25E-2</v>
      </c>
      <c r="R101" s="1225">
        <f t="shared" si="129"/>
        <v>1</v>
      </c>
      <c r="S101" s="940">
        <f t="shared" si="130"/>
        <v>1</v>
      </c>
      <c r="T101" s="932">
        <f t="shared" si="131"/>
        <v>0</v>
      </c>
      <c r="U101" s="681"/>
      <c r="V101" s="649"/>
      <c r="W101" s="681"/>
      <c r="X101" s="681"/>
      <c r="Y101" s="649" t="s">
        <v>587</v>
      </c>
      <c r="Z101" s="681"/>
      <c r="AA101" s="1255"/>
      <c r="AB101" s="681"/>
      <c r="AC101" s="1244"/>
      <c r="AD101" s="1244"/>
      <c r="AE101" s="932">
        <f t="shared" si="132"/>
        <v>0</v>
      </c>
      <c r="AF101" s="932">
        <f t="shared" si="133"/>
        <v>0</v>
      </c>
      <c r="AG101" s="681"/>
      <c r="AH101" s="662"/>
      <c r="AI101" s="662"/>
      <c r="AJ101" s="803"/>
      <c r="AK101" s="1256"/>
      <c r="AL101" s="1257"/>
      <c r="AM101" s="1224">
        <f t="shared" si="134"/>
        <v>0</v>
      </c>
      <c r="AN101" s="1225">
        <f t="shared" si="135"/>
        <v>0</v>
      </c>
      <c r="AO101" s="932">
        <f t="shared" si="136"/>
        <v>0</v>
      </c>
      <c r="AP101" s="932">
        <f t="shared" si="137"/>
        <v>0</v>
      </c>
      <c r="AQ101" s="662"/>
      <c r="AR101" s="662"/>
      <c r="AS101" s="662"/>
      <c r="AT101" s="662"/>
      <c r="AU101" s="803"/>
      <c r="AV101" s="662"/>
      <c r="AW101" s="803"/>
      <c r="AX101" s="1224">
        <f t="shared" si="138"/>
        <v>0.6</v>
      </c>
      <c r="AY101" s="1225">
        <f t="shared" si="139"/>
        <v>6</v>
      </c>
      <c r="AZ101" s="932">
        <f t="shared" si="116"/>
        <v>2</v>
      </c>
      <c r="BA101" s="932">
        <f t="shared" si="117"/>
        <v>2</v>
      </c>
      <c r="BB101" s="649"/>
      <c r="BC101" s="681" t="s">
        <v>562</v>
      </c>
      <c r="BD101" s="649" t="s">
        <v>562</v>
      </c>
      <c r="BE101" s="662" t="s">
        <v>587</v>
      </c>
      <c r="BF101" s="663" t="s">
        <v>587</v>
      </c>
      <c r="BI101" s="1258"/>
      <c r="BJ101" s="494" t="s">
        <v>1415</v>
      </c>
      <c r="BK101" s="538"/>
      <c r="BL101" s="406"/>
      <c r="BM101" s="1486" t="s">
        <v>1453</v>
      </c>
    </row>
    <row r="102" spans="1:65" s="590" customFormat="1" ht="25.5">
      <c r="A102" s="1519"/>
      <c r="B102" s="1521"/>
      <c r="C102" s="422" t="s">
        <v>1072</v>
      </c>
      <c r="D102" s="1207">
        <f t="shared" si="120"/>
        <v>8</v>
      </c>
      <c r="E102" s="1207">
        <f t="shared" si="121"/>
        <v>4</v>
      </c>
      <c r="F102" s="1207">
        <f t="shared" si="122"/>
        <v>4</v>
      </c>
      <c r="G102" s="1253">
        <f t="shared" si="123"/>
        <v>4</v>
      </c>
      <c r="H102" s="1253">
        <f t="shared" si="123"/>
        <v>2</v>
      </c>
      <c r="I102" s="1224">
        <f t="shared" si="124"/>
        <v>0.125</v>
      </c>
      <c r="J102" s="1225">
        <f t="shared" si="125"/>
        <v>1</v>
      </c>
      <c r="K102" s="932">
        <f t="shared" si="126"/>
        <v>1</v>
      </c>
      <c r="L102" s="1254">
        <f t="shared" si="127"/>
        <v>0</v>
      </c>
      <c r="M102" s="681"/>
      <c r="N102" s="681"/>
      <c r="O102" s="681" t="s">
        <v>587</v>
      </c>
      <c r="P102" s="663"/>
      <c r="Q102" s="1224">
        <f t="shared" si="128"/>
        <v>6.25E-2</v>
      </c>
      <c r="R102" s="1225">
        <f t="shared" si="129"/>
        <v>1</v>
      </c>
      <c r="S102" s="940">
        <f t="shared" si="130"/>
        <v>1</v>
      </c>
      <c r="T102" s="932">
        <f t="shared" si="131"/>
        <v>0</v>
      </c>
      <c r="U102" s="681"/>
      <c r="V102" s="649"/>
      <c r="W102" s="681"/>
      <c r="X102" s="681"/>
      <c r="Y102" s="649" t="s">
        <v>587</v>
      </c>
      <c r="Z102" s="681"/>
      <c r="AA102" s="1255"/>
      <c r="AB102" s="681"/>
      <c r="AC102" s="1244"/>
      <c r="AD102" s="1244"/>
      <c r="AE102" s="932">
        <f t="shared" si="132"/>
        <v>0</v>
      </c>
      <c r="AF102" s="932">
        <f t="shared" si="133"/>
        <v>0</v>
      </c>
      <c r="AG102" s="681"/>
      <c r="AH102" s="662"/>
      <c r="AI102" s="662"/>
      <c r="AJ102" s="803"/>
      <c r="AK102" s="1256"/>
      <c r="AL102" s="1257"/>
      <c r="AM102" s="1224">
        <f t="shared" si="134"/>
        <v>0</v>
      </c>
      <c r="AN102" s="1225">
        <f t="shared" si="135"/>
        <v>0</v>
      </c>
      <c r="AO102" s="932">
        <f t="shared" si="136"/>
        <v>0</v>
      </c>
      <c r="AP102" s="932">
        <f t="shared" si="137"/>
        <v>0</v>
      </c>
      <c r="AQ102" s="662"/>
      <c r="AR102" s="662"/>
      <c r="AS102" s="662"/>
      <c r="AT102" s="662"/>
      <c r="AU102" s="803"/>
      <c r="AV102" s="662"/>
      <c r="AW102" s="803"/>
      <c r="AX102" s="1224">
        <f t="shared" si="138"/>
        <v>0.6</v>
      </c>
      <c r="AY102" s="1225">
        <f t="shared" si="139"/>
        <v>6</v>
      </c>
      <c r="AZ102" s="932">
        <f t="shared" si="116"/>
        <v>2</v>
      </c>
      <c r="BA102" s="932">
        <f t="shared" si="117"/>
        <v>2</v>
      </c>
      <c r="BB102" s="649"/>
      <c r="BC102" s="681" t="s">
        <v>562</v>
      </c>
      <c r="BD102" s="649" t="s">
        <v>562</v>
      </c>
      <c r="BE102" s="662" t="s">
        <v>587</v>
      </c>
      <c r="BF102" s="663" t="s">
        <v>587</v>
      </c>
      <c r="BI102" s="1258"/>
      <c r="BJ102" s="494" t="s">
        <v>1414</v>
      </c>
      <c r="BK102" s="538"/>
      <c r="BL102" s="406"/>
      <c r="BM102" s="1487"/>
    </row>
    <row r="103" spans="1:65" s="590" customFormat="1" ht="12.75">
      <c r="A103" s="1519"/>
      <c r="B103" s="1045"/>
      <c r="C103" s="422" t="s">
        <v>1416</v>
      </c>
      <c r="D103" s="1207">
        <f t="shared" si="120"/>
        <v>10</v>
      </c>
      <c r="E103" s="1207">
        <f t="shared" si="121"/>
        <v>2</v>
      </c>
      <c r="F103" s="1207">
        <f t="shared" si="122"/>
        <v>8</v>
      </c>
      <c r="G103" s="1253">
        <f t="shared" si="123"/>
        <v>2</v>
      </c>
      <c r="H103" s="1253">
        <f t="shared" si="123"/>
        <v>4</v>
      </c>
      <c r="I103" s="1224">
        <f t="shared" si="124"/>
        <v>0.125</v>
      </c>
      <c r="J103" s="1225">
        <f t="shared" si="125"/>
        <v>1</v>
      </c>
      <c r="K103" s="932">
        <f t="shared" si="126"/>
        <v>1</v>
      </c>
      <c r="L103" s="1254">
        <f t="shared" si="127"/>
        <v>0</v>
      </c>
      <c r="M103" s="681"/>
      <c r="N103" s="681"/>
      <c r="O103" s="681" t="s">
        <v>587</v>
      </c>
      <c r="P103" s="663"/>
      <c r="Q103" s="1224">
        <f t="shared" si="128"/>
        <v>6.25E-2</v>
      </c>
      <c r="R103" s="1225">
        <f t="shared" si="129"/>
        <v>1</v>
      </c>
      <c r="S103" s="940">
        <f t="shared" si="130"/>
        <v>1</v>
      </c>
      <c r="T103" s="932">
        <f t="shared" si="131"/>
        <v>0</v>
      </c>
      <c r="U103" s="681"/>
      <c r="V103" s="649"/>
      <c r="W103" s="681"/>
      <c r="X103" s="681"/>
      <c r="Y103" s="649" t="s">
        <v>587</v>
      </c>
      <c r="Z103" s="681"/>
      <c r="AA103" s="1255"/>
      <c r="AB103" s="681"/>
      <c r="AC103" s="1244"/>
      <c r="AD103" s="1244"/>
      <c r="AE103" s="932">
        <f t="shared" si="132"/>
        <v>0</v>
      </c>
      <c r="AF103" s="932">
        <f t="shared" si="133"/>
        <v>0</v>
      </c>
      <c r="AG103" s="681"/>
      <c r="AH103" s="662"/>
      <c r="AI103" s="662"/>
      <c r="AJ103" s="803"/>
      <c r="AK103" s="1256"/>
      <c r="AL103" s="1257"/>
      <c r="AM103" s="1224">
        <f t="shared" si="134"/>
        <v>0</v>
      </c>
      <c r="AN103" s="1225">
        <f t="shared" si="135"/>
        <v>0</v>
      </c>
      <c r="AO103" s="932">
        <f t="shared" si="136"/>
        <v>0</v>
      </c>
      <c r="AP103" s="932">
        <f t="shared" si="137"/>
        <v>0</v>
      </c>
      <c r="AQ103" s="662"/>
      <c r="AR103" s="662"/>
      <c r="AS103" s="662"/>
      <c r="AT103" s="662"/>
      <c r="AU103" s="803"/>
      <c r="AV103" s="662"/>
      <c r="AW103" s="803"/>
      <c r="AX103" s="1224">
        <f t="shared" si="138"/>
        <v>0.8</v>
      </c>
      <c r="AY103" s="1225">
        <f t="shared" si="139"/>
        <v>8</v>
      </c>
      <c r="AZ103" s="932">
        <f t="shared" si="116"/>
        <v>0</v>
      </c>
      <c r="BA103" s="932">
        <f t="shared" si="117"/>
        <v>4</v>
      </c>
      <c r="BB103" s="649"/>
      <c r="BC103" s="681" t="s">
        <v>562</v>
      </c>
      <c r="BD103" s="649" t="s">
        <v>562</v>
      </c>
      <c r="BE103" s="662" t="s">
        <v>562</v>
      </c>
      <c r="BF103" s="663" t="s">
        <v>562</v>
      </c>
      <c r="BI103" s="1258"/>
      <c r="BJ103" s="494" t="s">
        <v>1417</v>
      </c>
      <c r="BK103" s="538"/>
      <c r="BL103" s="406"/>
      <c r="BM103" s="1487"/>
    </row>
    <row r="104" spans="1:65" s="590" customFormat="1" ht="25.5">
      <c r="A104" s="1519"/>
      <c r="B104" s="1045"/>
      <c r="C104" s="422" t="s">
        <v>1073</v>
      </c>
      <c r="D104" s="1207">
        <f t="shared" si="120"/>
        <v>8</v>
      </c>
      <c r="E104" s="1207">
        <f t="shared" si="121"/>
        <v>4</v>
      </c>
      <c r="F104" s="1207">
        <f t="shared" si="122"/>
        <v>4</v>
      </c>
      <c r="G104" s="1253">
        <f t="shared" si="123"/>
        <v>4</v>
      </c>
      <c r="H104" s="1253">
        <f t="shared" si="123"/>
        <v>2</v>
      </c>
      <c r="I104" s="1224">
        <f t="shared" si="124"/>
        <v>0.125</v>
      </c>
      <c r="J104" s="1225">
        <f t="shared" si="125"/>
        <v>1</v>
      </c>
      <c r="K104" s="932">
        <f t="shared" si="126"/>
        <v>1</v>
      </c>
      <c r="L104" s="1254">
        <f t="shared" si="127"/>
        <v>0</v>
      </c>
      <c r="M104" s="681"/>
      <c r="N104" s="681"/>
      <c r="O104" s="681" t="s">
        <v>587</v>
      </c>
      <c r="P104" s="663"/>
      <c r="Q104" s="1224">
        <f t="shared" si="128"/>
        <v>6.25E-2</v>
      </c>
      <c r="R104" s="1225">
        <f t="shared" si="129"/>
        <v>1</v>
      </c>
      <c r="S104" s="940">
        <f t="shared" si="130"/>
        <v>1</v>
      </c>
      <c r="T104" s="932">
        <f t="shared" si="131"/>
        <v>0</v>
      </c>
      <c r="U104" s="681"/>
      <c r="V104" s="649"/>
      <c r="W104" s="681"/>
      <c r="X104" s="681"/>
      <c r="Y104" s="649" t="s">
        <v>587</v>
      </c>
      <c r="Z104" s="681"/>
      <c r="AA104" s="1255"/>
      <c r="AB104" s="681"/>
      <c r="AC104" s="1244"/>
      <c r="AD104" s="1244"/>
      <c r="AE104" s="932">
        <f t="shared" si="132"/>
        <v>0</v>
      </c>
      <c r="AF104" s="932">
        <f t="shared" si="133"/>
        <v>0</v>
      </c>
      <c r="AG104" s="681"/>
      <c r="AH104" s="662"/>
      <c r="AI104" s="662"/>
      <c r="AJ104" s="803"/>
      <c r="AK104" s="1256"/>
      <c r="AL104" s="1257"/>
      <c r="AM104" s="1224">
        <f t="shared" si="134"/>
        <v>0</v>
      </c>
      <c r="AN104" s="1225">
        <f t="shared" si="135"/>
        <v>0</v>
      </c>
      <c r="AO104" s="932">
        <f t="shared" si="136"/>
        <v>0</v>
      </c>
      <c r="AP104" s="932">
        <f t="shared" si="137"/>
        <v>0</v>
      </c>
      <c r="AQ104" s="662"/>
      <c r="AR104" s="662"/>
      <c r="AS104" s="662"/>
      <c r="AT104" s="662"/>
      <c r="AU104" s="803"/>
      <c r="AV104" s="662"/>
      <c r="AW104" s="803"/>
      <c r="AX104" s="1224">
        <f t="shared" si="138"/>
        <v>0.6</v>
      </c>
      <c r="AY104" s="1225">
        <f t="shared" si="139"/>
        <v>6</v>
      </c>
      <c r="AZ104" s="932">
        <f t="shared" si="116"/>
        <v>2</v>
      </c>
      <c r="BA104" s="932">
        <f t="shared" si="117"/>
        <v>2</v>
      </c>
      <c r="BB104" s="649"/>
      <c r="BC104" s="681" t="s">
        <v>562</v>
      </c>
      <c r="BD104" s="649" t="s">
        <v>562</v>
      </c>
      <c r="BE104" s="662" t="s">
        <v>587</v>
      </c>
      <c r="BF104" s="663" t="s">
        <v>587</v>
      </c>
      <c r="BI104" s="1258"/>
      <c r="BJ104" s="494" t="s">
        <v>1418</v>
      </c>
      <c r="BK104" s="538"/>
      <c r="BL104" s="406"/>
      <c r="BM104" s="1487"/>
    </row>
    <row r="105" spans="1:65" s="590" customFormat="1" ht="38.25">
      <c r="A105" s="1519"/>
      <c r="B105" s="1045"/>
      <c r="C105" s="422" t="s">
        <v>1062</v>
      </c>
      <c r="D105" s="1207">
        <f t="shared" si="120"/>
        <v>8</v>
      </c>
      <c r="E105" s="1207">
        <f t="shared" si="121"/>
        <v>4</v>
      </c>
      <c r="F105" s="1207">
        <f t="shared" si="122"/>
        <v>4</v>
      </c>
      <c r="G105" s="1253">
        <f t="shared" si="123"/>
        <v>4</v>
      </c>
      <c r="H105" s="1253">
        <f t="shared" si="123"/>
        <v>2</v>
      </c>
      <c r="I105" s="1224">
        <f t="shared" si="124"/>
        <v>0.125</v>
      </c>
      <c r="J105" s="1225">
        <f t="shared" si="125"/>
        <v>1</v>
      </c>
      <c r="K105" s="932">
        <f t="shared" si="126"/>
        <v>1</v>
      </c>
      <c r="L105" s="1254">
        <f t="shared" si="127"/>
        <v>0</v>
      </c>
      <c r="M105" s="681"/>
      <c r="N105" s="681"/>
      <c r="O105" s="681" t="s">
        <v>587</v>
      </c>
      <c r="P105" s="663"/>
      <c r="Q105" s="1224">
        <f t="shared" si="128"/>
        <v>6.25E-2</v>
      </c>
      <c r="R105" s="1225">
        <f t="shared" si="129"/>
        <v>1</v>
      </c>
      <c r="S105" s="940">
        <f t="shared" si="130"/>
        <v>1</v>
      </c>
      <c r="T105" s="932">
        <f t="shared" si="131"/>
        <v>0</v>
      </c>
      <c r="U105" s="681"/>
      <c r="V105" s="649"/>
      <c r="W105" s="681"/>
      <c r="X105" s="681"/>
      <c r="Y105" s="649" t="s">
        <v>587</v>
      </c>
      <c r="Z105" s="681"/>
      <c r="AA105" s="1255"/>
      <c r="AB105" s="681"/>
      <c r="AC105" s="1244"/>
      <c r="AD105" s="1244"/>
      <c r="AE105" s="932">
        <f t="shared" si="132"/>
        <v>0</v>
      </c>
      <c r="AF105" s="932">
        <f t="shared" si="133"/>
        <v>0</v>
      </c>
      <c r="AG105" s="681"/>
      <c r="AH105" s="662"/>
      <c r="AI105" s="662"/>
      <c r="AJ105" s="803"/>
      <c r="AK105" s="1256"/>
      <c r="AL105" s="1257"/>
      <c r="AM105" s="1224">
        <f t="shared" si="134"/>
        <v>0</v>
      </c>
      <c r="AN105" s="1225">
        <f t="shared" si="135"/>
        <v>0</v>
      </c>
      <c r="AO105" s="932">
        <f t="shared" si="136"/>
        <v>0</v>
      </c>
      <c r="AP105" s="932">
        <f t="shared" si="137"/>
        <v>0</v>
      </c>
      <c r="AQ105" s="662"/>
      <c r="AR105" s="662"/>
      <c r="AS105" s="662"/>
      <c r="AT105" s="662"/>
      <c r="AU105" s="803"/>
      <c r="AV105" s="662"/>
      <c r="AW105" s="803"/>
      <c r="AX105" s="1224">
        <f t="shared" si="138"/>
        <v>0.6</v>
      </c>
      <c r="AY105" s="1225">
        <f t="shared" si="139"/>
        <v>6</v>
      </c>
      <c r="AZ105" s="932">
        <f t="shared" si="116"/>
        <v>2</v>
      </c>
      <c r="BA105" s="932">
        <f t="shared" si="117"/>
        <v>2</v>
      </c>
      <c r="BB105" s="649"/>
      <c r="BC105" s="681" t="s">
        <v>562</v>
      </c>
      <c r="BD105" s="649" t="s">
        <v>562</v>
      </c>
      <c r="BE105" s="662" t="s">
        <v>587</v>
      </c>
      <c r="BF105" s="663" t="s">
        <v>587</v>
      </c>
      <c r="BI105" s="1258"/>
      <c r="BJ105" s="494" t="s">
        <v>1419</v>
      </c>
      <c r="BK105" s="538"/>
      <c r="BL105" s="406"/>
      <c r="BM105" s="1488"/>
    </row>
    <row r="106" spans="1:65" s="590" customFormat="1" ht="22.5">
      <c r="A106" s="1519"/>
      <c r="B106" s="1489" t="s">
        <v>1436</v>
      </c>
      <c r="C106" s="422" t="s">
        <v>990</v>
      </c>
      <c r="D106" s="1207">
        <f t="shared" si="120"/>
        <v>11</v>
      </c>
      <c r="E106" s="1207">
        <f t="shared" si="121"/>
        <v>3</v>
      </c>
      <c r="F106" s="1207">
        <f t="shared" si="122"/>
        <v>8</v>
      </c>
      <c r="G106" s="1253">
        <f t="shared" si="123"/>
        <v>3</v>
      </c>
      <c r="H106" s="1253">
        <f t="shared" si="123"/>
        <v>4</v>
      </c>
      <c r="I106" s="1224">
        <f t="shared" si="124"/>
        <v>0.25</v>
      </c>
      <c r="J106" s="1225">
        <f t="shared" si="125"/>
        <v>2</v>
      </c>
      <c r="K106" s="932">
        <f t="shared" si="126"/>
        <v>0</v>
      </c>
      <c r="L106" s="1254">
        <f t="shared" si="127"/>
        <v>1</v>
      </c>
      <c r="M106" s="681"/>
      <c r="N106" s="681"/>
      <c r="O106" s="681" t="s">
        <v>562</v>
      </c>
      <c r="P106" s="663"/>
      <c r="Q106" s="1224">
        <f t="shared" si="128"/>
        <v>0.125</v>
      </c>
      <c r="R106" s="1225">
        <f t="shared" si="129"/>
        <v>2</v>
      </c>
      <c r="S106" s="940">
        <f t="shared" si="130"/>
        <v>2</v>
      </c>
      <c r="T106" s="932">
        <f t="shared" si="131"/>
        <v>0</v>
      </c>
      <c r="U106" s="681" t="s">
        <v>587</v>
      </c>
      <c r="V106" s="649"/>
      <c r="W106" s="681"/>
      <c r="X106" s="681"/>
      <c r="Y106" s="649" t="s">
        <v>587</v>
      </c>
      <c r="Z106" s="681"/>
      <c r="AA106" s="1255"/>
      <c r="AB106" s="681"/>
      <c r="AC106" s="1244"/>
      <c r="AD106" s="1244"/>
      <c r="AE106" s="932">
        <f t="shared" si="132"/>
        <v>0</v>
      </c>
      <c r="AF106" s="932">
        <f t="shared" si="133"/>
        <v>0</v>
      </c>
      <c r="AG106" s="681"/>
      <c r="AH106" s="662"/>
      <c r="AI106" s="662"/>
      <c r="AJ106" s="803"/>
      <c r="AK106" s="1256"/>
      <c r="AL106" s="1257"/>
      <c r="AM106" s="1224">
        <f t="shared" si="134"/>
        <v>0</v>
      </c>
      <c r="AN106" s="1225">
        <f t="shared" si="135"/>
        <v>0</v>
      </c>
      <c r="AO106" s="932">
        <f t="shared" si="136"/>
        <v>0</v>
      </c>
      <c r="AP106" s="932">
        <f t="shared" si="137"/>
        <v>0</v>
      </c>
      <c r="AQ106" s="662"/>
      <c r="AR106" s="662"/>
      <c r="AS106" s="662"/>
      <c r="AT106" s="662"/>
      <c r="AU106" s="803"/>
      <c r="AV106" s="662"/>
      <c r="AW106" s="803"/>
      <c r="AX106" s="1224">
        <f t="shared" si="138"/>
        <v>0.7</v>
      </c>
      <c r="AY106" s="1225">
        <f t="shared" si="139"/>
        <v>7</v>
      </c>
      <c r="AZ106" s="932">
        <f t="shared" si="116"/>
        <v>1</v>
      </c>
      <c r="BA106" s="932">
        <f t="shared" si="117"/>
        <v>3</v>
      </c>
      <c r="BB106" s="649"/>
      <c r="BC106" s="681" t="s">
        <v>562</v>
      </c>
      <c r="BD106" s="649" t="s">
        <v>562</v>
      </c>
      <c r="BE106" s="662" t="s">
        <v>587</v>
      </c>
      <c r="BF106" s="663" t="s">
        <v>562</v>
      </c>
      <c r="BI106" s="1492" t="s">
        <v>898</v>
      </c>
      <c r="BJ106" s="494" t="s">
        <v>1204</v>
      </c>
      <c r="BK106" s="538"/>
      <c r="BL106" s="406"/>
      <c r="BM106" s="1259"/>
    </row>
    <row r="107" spans="1:65" s="590" customFormat="1" ht="12.75">
      <c r="A107" s="1519"/>
      <c r="B107" s="1490"/>
      <c r="C107" s="422" t="s">
        <v>1043</v>
      </c>
      <c r="D107" s="1207">
        <f t="shared" si="120"/>
        <v>10</v>
      </c>
      <c r="E107" s="1207">
        <f t="shared" si="121"/>
        <v>4</v>
      </c>
      <c r="F107" s="1207">
        <f t="shared" si="122"/>
        <v>6</v>
      </c>
      <c r="G107" s="1253">
        <f t="shared" si="123"/>
        <v>4</v>
      </c>
      <c r="H107" s="1253">
        <f t="shared" si="123"/>
        <v>3</v>
      </c>
      <c r="I107" s="1224">
        <f t="shared" si="124"/>
        <v>0.25</v>
      </c>
      <c r="J107" s="1225">
        <f t="shared" si="125"/>
        <v>2</v>
      </c>
      <c r="K107" s="932">
        <f t="shared" si="126"/>
        <v>0</v>
      </c>
      <c r="L107" s="1254">
        <f t="shared" si="127"/>
        <v>1</v>
      </c>
      <c r="M107" s="681"/>
      <c r="N107" s="681"/>
      <c r="O107" s="681" t="s">
        <v>562</v>
      </c>
      <c r="P107" s="663"/>
      <c r="Q107" s="1224">
        <f t="shared" si="128"/>
        <v>0.125</v>
      </c>
      <c r="R107" s="1225">
        <f t="shared" si="129"/>
        <v>2</v>
      </c>
      <c r="S107" s="940">
        <f t="shared" si="130"/>
        <v>2</v>
      </c>
      <c r="T107" s="932">
        <f t="shared" si="131"/>
        <v>0</v>
      </c>
      <c r="U107" s="681" t="s">
        <v>587</v>
      </c>
      <c r="V107" s="649"/>
      <c r="W107" s="681"/>
      <c r="X107" s="681"/>
      <c r="Y107" s="649" t="s">
        <v>587</v>
      </c>
      <c r="Z107" s="681"/>
      <c r="AA107" s="1255"/>
      <c r="AB107" s="681"/>
      <c r="AC107" s="1244"/>
      <c r="AD107" s="1244"/>
      <c r="AE107" s="932">
        <f t="shared" si="132"/>
        <v>0</v>
      </c>
      <c r="AF107" s="932">
        <f t="shared" si="133"/>
        <v>0</v>
      </c>
      <c r="AG107" s="681"/>
      <c r="AH107" s="662"/>
      <c r="AI107" s="662"/>
      <c r="AJ107" s="803"/>
      <c r="AK107" s="1256"/>
      <c r="AL107" s="1257"/>
      <c r="AM107" s="1224">
        <f t="shared" si="134"/>
        <v>0</v>
      </c>
      <c r="AN107" s="1225">
        <f t="shared" si="135"/>
        <v>0</v>
      </c>
      <c r="AO107" s="932">
        <f t="shared" si="136"/>
        <v>0</v>
      </c>
      <c r="AP107" s="932">
        <f t="shared" si="137"/>
        <v>0</v>
      </c>
      <c r="AQ107" s="662"/>
      <c r="AR107" s="662"/>
      <c r="AS107" s="662"/>
      <c r="AT107" s="662"/>
      <c r="AU107" s="803"/>
      <c r="AV107" s="662"/>
      <c r="AW107" s="803"/>
      <c r="AX107" s="1224">
        <f t="shared" si="138"/>
        <v>0.6</v>
      </c>
      <c r="AY107" s="1225">
        <f t="shared" si="139"/>
        <v>6</v>
      </c>
      <c r="AZ107" s="932">
        <f t="shared" si="116"/>
        <v>2</v>
      </c>
      <c r="BA107" s="932">
        <f t="shared" si="117"/>
        <v>2</v>
      </c>
      <c r="BB107" s="649"/>
      <c r="BC107" s="681" t="s">
        <v>562</v>
      </c>
      <c r="BD107" s="649" t="s">
        <v>562</v>
      </c>
      <c r="BE107" s="662" t="s">
        <v>587</v>
      </c>
      <c r="BF107" s="663" t="s">
        <v>587</v>
      </c>
      <c r="BI107" s="1493"/>
      <c r="BJ107" s="494" t="s">
        <v>1203</v>
      </c>
      <c r="BK107" s="538"/>
      <c r="BL107" s="406"/>
      <c r="BM107" s="1259"/>
    </row>
    <row r="108" spans="1:65" s="590" customFormat="1" ht="12.75">
      <c r="A108" s="1519"/>
      <c r="B108" s="1490"/>
      <c r="C108" s="422" t="s">
        <v>992</v>
      </c>
      <c r="D108" s="1207">
        <f t="shared" si="120"/>
        <v>13</v>
      </c>
      <c r="E108" s="1207">
        <f t="shared" si="121"/>
        <v>5</v>
      </c>
      <c r="F108" s="1207">
        <f t="shared" si="122"/>
        <v>8</v>
      </c>
      <c r="G108" s="1253">
        <f t="shared" si="123"/>
        <v>5</v>
      </c>
      <c r="H108" s="1253">
        <f t="shared" si="123"/>
        <v>4</v>
      </c>
      <c r="I108" s="1224">
        <f t="shared" si="124"/>
        <v>0.25</v>
      </c>
      <c r="J108" s="1225">
        <f t="shared" si="125"/>
        <v>2</v>
      </c>
      <c r="K108" s="932">
        <f t="shared" si="126"/>
        <v>0</v>
      </c>
      <c r="L108" s="1254">
        <f t="shared" si="127"/>
        <v>1</v>
      </c>
      <c r="M108" s="681"/>
      <c r="N108" s="681"/>
      <c r="O108" s="681" t="s">
        <v>562</v>
      </c>
      <c r="P108" s="663"/>
      <c r="Q108" s="1224">
        <f t="shared" si="128"/>
        <v>0.4375</v>
      </c>
      <c r="R108" s="1225">
        <f t="shared" si="129"/>
        <v>7</v>
      </c>
      <c r="S108" s="940">
        <f t="shared" si="130"/>
        <v>3</v>
      </c>
      <c r="T108" s="932">
        <f t="shared" si="131"/>
        <v>2</v>
      </c>
      <c r="U108" s="681" t="s">
        <v>587</v>
      </c>
      <c r="V108" s="649" t="s">
        <v>587</v>
      </c>
      <c r="W108" s="681"/>
      <c r="X108" s="681"/>
      <c r="Y108" s="649" t="s">
        <v>587</v>
      </c>
      <c r="Z108" s="681" t="s">
        <v>562</v>
      </c>
      <c r="AA108" s="1255"/>
      <c r="AB108" s="681" t="s">
        <v>562</v>
      </c>
      <c r="AC108" s="1244"/>
      <c r="AD108" s="1244"/>
      <c r="AE108" s="932">
        <f t="shared" si="132"/>
        <v>0</v>
      </c>
      <c r="AF108" s="932">
        <f t="shared" si="133"/>
        <v>0</v>
      </c>
      <c r="AG108" s="681"/>
      <c r="AH108" s="662"/>
      <c r="AI108" s="662"/>
      <c r="AJ108" s="803"/>
      <c r="AK108" s="1256"/>
      <c r="AL108" s="1257"/>
      <c r="AM108" s="1224">
        <f t="shared" si="134"/>
        <v>0</v>
      </c>
      <c r="AN108" s="1225">
        <f t="shared" si="135"/>
        <v>0</v>
      </c>
      <c r="AO108" s="932">
        <f t="shared" si="136"/>
        <v>0</v>
      </c>
      <c r="AP108" s="932">
        <f t="shared" si="137"/>
        <v>0</v>
      </c>
      <c r="AQ108" s="662"/>
      <c r="AR108" s="662"/>
      <c r="AS108" s="662"/>
      <c r="AT108" s="662"/>
      <c r="AU108" s="803"/>
      <c r="AV108" s="662"/>
      <c r="AW108" s="803"/>
      <c r="AX108" s="1224">
        <f t="shared" si="138"/>
        <v>0.4</v>
      </c>
      <c r="AY108" s="1225">
        <f t="shared" si="139"/>
        <v>4</v>
      </c>
      <c r="AZ108" s="932">
        <f t="shared" si="116"/>
        <v>2</v>
      </c>
      <c r="BA108" s="932">
        <f t="shared" si="117"/>
        <v>1</v>
      </c>
      <c r="BB108" s="649"/>
      <c r="BC108" s="681" t="s">
        <v>587</v>
      </c>
      <c r="BD108" s="649"/>
      <c r="BE108" s="662" t="s">
        <v>587</v>
      </c>
      <c r="BF108" s="663" t="s">
        <v>562</v>
      </c>
      <c r="BI108" s="1493"/>
      <c r="BJ108" s="494" t="s">
        <v>1202</v>
      </c>
      <c r="BK108" s="538"/>
      <c r="BL108" s="406"/>
      <c r="BM108" s="1259"/>
    </row>
    <row r="109" spans="1:65" s="590" customFormat="1" ht="22.5">
      <c r="A109" s="1519"/>
      <c r="B109" s="1490"/>
      <c r="C109" s="422" t="s">
        <v>1061</v>
      </c>
      <c r="D109" s="1207">
        <f t="shared" si="120"/>
        <v>13</v>
      </c>
      <c r="E109" s="1207">
        <f t="shared" si="121"/>
        <v>3</v>
      </c>
      <c r="F109" s="1207">
        <f t="shared" si="122"/>
        <v>10</v>
      </c>
      <c r="G109" s="1253">
        <f t="shared" si="123"/>
        <v>3</v>
      </c>
      <c r="H109" s="1253">
        <f t="shared" si="123"/>
        <v>5</v>
      </c>
      <c r="I109" s="1224">
        <f t="shared" si="124"/>
        <v>0.25</v>
      </c>
      <c r="J109" s="1225">
        <f t="shared" si="125"/>
        <v>2</v>
      </c>
      <c r="K109" s="932">
        <f t="shared" si="126"/>
        <v>0</v>
      </c>
      <c r="L109" s="1254">
        <f t="shared" si="127"/>
        <v>1</v>
      </c>
      <c r="M109" s="681"/>
      <c r="N109" s="681"/>
      <c r="O109" s="681" t="s">
        <v>562</v>
      </c>
      <c r="P109" s="663"/>
      <c r="Q109" s="1224">
        <f t="shared" si="128"/>
        <v>0.25</v>
      </c>
      <c r="R109" s="1225">
        <f t="shared" si="129"/>
        <v>4</v>
      </c>
      <c r="S109" s="940">
        <f t="shared" si="130"/>
        <v>2</v>
      </c>
      <c r="T109" s="932">
        <f t="shared" si="131"/>
        <v>1</v>
      </c>
      <c r="U109" s="681" t="s">
        <v>587</v>
      </c>
      <c r="V109" s="649"/>
      <c r="W109" s="681"/>
      <c r="X109" s="681"/>
      <c r="Y109" s="649" t="s">
        <v>587</v>
      </c>
      <c r="Z109" s="681" t="s">
        <v>562</v>
      </c>
      <c r="AA109" s="1255"/>
      <c r="AB109" s="681"/>
      <c r="AC109" s="1244"/>
      <c r="AD109" s="1244"/>
      <c r="AE109" s="932">
        <f t="shared" si="132"/>
        <v>0</v>
      </c>
      <c r="AF109" s="932">
        <f t="shared" si="133"/>
        <v>0</v>
      </c>
      <c r="AG109" s="681"/>
      <c r="AH109" s="662"/>
      <c r="AI109" s="662"/>
      <c r="AJ109" s="803"/>
      <c r="AK109" s="1256"/>
      <c r="AL109" s="1257"/>
      <c r="AM109" s="1224">
        <f t="shared" si="134"/>
        <v>0</v>
      </c>
      <c r="AN109" s="1225">
        <f t="shared" si="135"/>
        <v>0</v>
      </c>
      <c r="AO109" s="932">
        <f t="shared" si="136"/>
        <v>0</v>
      </c>
      <c r="AP109" s="932">
        <f t="shared" si="137"/>
        <v>0</v>
      </c>
      <c r="AQ109" s="662"/>
      <c r="AR109" s="662"/>
      <c r="AS109" s="662"/>
      <c r="AT109" s="662"/>
      <c r="AU109" s="803"/>
      <c r="AV109" s="662"/>
      <c r="AW109" s="803"/>
      <c r="AX109" s="1224">
        <f t="shared" si="138"/>
        <v>0.7</v>
      </c>
      <c r="AY109" s="1225">
        <f t="shared" si="139"/>
        <v>7</v>
      </c>
      <c r="AZ109" s="932">
        <f t="shared" si="116"/>
        <v>1</v>
      </c>
      <c r="BA109" s="932">
        <f t="shared" si="117"/>
        <v>3</v>
      </c>
      <c r="BB109" s="649"/>
      <c r="BC109" s="681" t="s">
        <v>587</v>
      </c>
      <c r="BD109" s="649" t="s">
        <v>562</v>
      </c>
      <c r="BE109" s="662" t="s">
        <v>562</v>
      </c>
      <c r="BF109" s="663" t="s">
        <v>562</v>
      </c>
      <c r="BI109" s="1493"/>
      <c r="BJ109" s="494" t="s">
        <v>1201</v>
      </c>
      <c r="BK109" s="538"/>
      <c r="BL109" s="406"/>
      <c r="BM109" s="1259"/>
    </row>
    <row r="110" spans="1:65" s="590" customFormat="1" ht="12.75">
      <c r="A110" s="1519"/>
      <c r="B110" s="1490"/>
      <c r="C110" s="422" t="s">
        <v>991</v>
      </c>
      <c r="D110" s="1207">
        <f t="shared" si="120"/>
        <v>12</v>
      </c>
      <c r="E110" s="1207">
        <f t="shared" si="121"/>
        <v>2</v>
      </c>
      <c r="F110" s="1207">
        <f t="shared" si="122"/>
        <v>10</v>
      </c>
      <c r="G110" s="1253">
        <f t="shared" si="123"/>
        <v>2</v>
      </c>
      <c r="H110" s="1253">
        <f t="shared" si="123"/>
        <v>5</v>
      </c>
      <c r="I110" s="1224">
        <f t="shared" si="124"/>
        <v>0.25</v>
      </c>
      <c r="J110" s="1225">
        <f t="shared" si="125"/>
        <v>2</v>
      </c>
      <c r="K110" s="932">
        <f t="shared" si="126"/>
        <v>0</v>
      </c>
      <c r="L110" s="1254">
        <f t="shared" si="127"/>
        <v>1</v>
      </c>
      <c r="M110" s="681"/>
      <c r="N110" s="681"/>
      <c r="O110" s="681" t="s">
        <v>562</v>
      </c>
      <c r="P110" s="663"/>
      <c r="Q110" s="1224">
        <f t="shared" si="128"/>
        <v>0.125</v>
      </c>
      <c r="R110" s="1225">
        <f t="shared" si="129"/>
        <v>2</v>
      </c>
      <c r="S110" s="940">
        <f t="shared" si="130"/>
        <v>2</v>
      </c>
      <c r="T110" s="932">
        <f t="shared" si="131"/>
        <v>0</v>
      </c>
      <c r="U110" s="681"/>
      <c r="V110" s="649" t="s">
        <v>587</v>
      </c>
      <c r="W110" s="681"/>
      <c r="X110" s="681"/>
      <c r="Y110" s="649" t="s">
        <v>587</v>
      </c>
      <c r="Z110" s="681"/>
      <c r="AA110" s="1255"/>
      <c r="AB110" s="681"/>
      <c r="AC110" s="1244"/>
      <c r="AD110" s="1244"/>
      <c r="AE110" s="932">
        <f t="shared" si="132"/>
        <v>0</v>
      </c>
      <c r="AF110" s="932">
        <f t="shared" si="133"/>
        <v>0</v>
      </c>
      <c r="AG110" s="681"/>
      <c r="AH110" s="662"/>
      <c r="AI110" s="662"/>
      <c r="AJ110" s="803"/>
      <c r="AK110" s="1256"/>
      <c r="AL110" s="1257"/>
      <c r="AM110" s="1224">
        <f t="shared" si="134"/>
        <v>0</v>
      </c>
      <c r="AN110" s="1225">
        <f t="shared" si="135"/>
        <v>0</v>
      </c>
      <c r="AO110" s="932">
        <f t="shared" si="136"/>
        <v>0</v>
      </c>
      <c r="AP110" s="932">
        <f t="shared" si="137"/>
        <v>0</v>
      </c>
      <c r="AQ110" s="662"/>
      <c r="AR110" s="662"/>
      <c r="AS110" s="662"/>
      <c r="AT110" s="662"/>
      <c r="AU110" s="803"/>
      <c r="AV110" s="662"/>
      <c r="AW110" s="803"/>
      <c r="AX110" s="1224">
        <f t="shared" si="138"/>
        <v>0.8</v>
      </c>
      <c r="AY110" s="1225">
        <f t="shared" si="139"/>
        <v>8</v>
      </c>
      <c r="AZ110" s="932">
        <f t="shared" si="116"/>
        <v>0</v>
      </c>
      <c r="BA110" s="932">
        <f t="shared" si="117"/>
        <v>4</v>
      </c>
      <c r="BB110" s="649"/>
      <c r="BC110" s="681" t="s">
        <v>562</v>
      </c>
      <c r="BD110" s="649" t="s">
        <v>562</v>
      </c>
      <c r="BE110" s="662" t="s">
        <v>562</v>
      </c>
      <c r="BF110" s="663" t="s">
        <v>562</v>
      </c>
      <c r="BI110" s="1493"/>
      <c r="BJ110" s="494" t="s">
        <v>1200</v>
      </c>
      <c r="BK110" s="538"/>
      <c r="BL110" s="406"/>
      <c r="BM110" s="1259"/>
    </row>
    <row r="111" spans="1:65" s="590" customFormat="1" ht="22.5">
      <c r="A111" s="1519"/>
      <c r="B111" s="1491"/>
      <c r="C111" s="427" t="s">
        <v>1066</v>
      </c>
      <c r="D111" s="1207">
        <f t="shared" si="120"/>
        <v>8</v>
      </c>
      <c r="E111" s="1207">
        <f t="shared" si="121"/>
        <v>4</v>
      </c>
      <c r="F111" s="1207">
        <f t="shared" si="122"/>
        <v>4</v>
      </c>
      <c r="G111" s="1253">
        <f t="shared" si="123"/>
        <v>4</v>
      </c>
      <c r="H111" s="1253">
        <f t="shared" si="123"/>
        <v>2</v>
      </c>
      <c r="I111" s="1224">
        <f t="shared" si="124"/>
        <v>0.25</v>
      </c>
      <c r="J111" s="1225">
        <f t="shared" si="125"/>
        <v>2</v>
      </c>
      <c r="K111" s="932">
        <f t="shared" si="126"/>
        <v>0</v>
      </c>
      <c r="L111" s="1254">
        <f t="shared" si="127"/>
        <v>1</v>
      </c>
      <c r="M111" s="681"/>
      <c r="N111" s="681"/>
      <c r="O111" s="681" t="s">
        <v>562</v>
      </c>
      <c r="P111" s="663"/>
      <c r="Q111" s="1224">
        <f t="shared" si="128"/>
        <v>0.125</v>
      </c>
      <c r="R111" s="1225">
        <f t="shared" si="129"/>
        <v>2</v>
      </c>
      <c r="S111" s="940">
        <f t="shared" si="130"/>
        <v>2</v>
      </c>
      <c r="T111" s="932">
        <f t="shared" si="131"/>
        <v>0</v>
      </c>
      <c r="U111" s="681"/>
      <c r="V111" s="649" t="s">
        <v>587</v>
      </c>
      <c r="W111" s="681"/>
      <c r="X111" s="681"/>
      <c r="Y111" s="649" t="s">
        <v>587</v>
      </c>
      <c r="Z111" s="681"/>
      <c r="AA111" s="1255"/>
      <c r="AB111" s="681"/>
      <c r="AC111" s="1244"/>
      <c r="AD111" s="1244"/>
      <c r="AE111" s="932">
        <f t="shared" si="132"/>
        <v>0</v>
      </c>
      <c r="AF111" s="932">
        <f t="shared" si="133"/>
        <v>0</v>
      </c>
      <c r="AG111" s="681"/>
      <c r="AH111" s="662"/>
      <c r="AI111" s="662"/>
      <c r="AJ111" s="803"/>
      <c r="AK111" s="1256"/>
      <c r="AL111" s="1257"/>
      <c r="AM111" s="1224">
        <f t="shared" si="134"/>
        <v>0</v>
      </c>
      <c r="AN111" s="1225">
        <f t="shared" si="135"/>
        <v>0</v>
      </c>
      <c r="AO111" s="932">
        <f t="shared" si="136"/>
        <v>0</v>
      </c>
      <c r="AP111" s="932">
        <f t="shared" si="137"/>
        <v>0</v>
      </c>
      <c r="AQ111" s="662"/>
      <c r="AR111" s="662"/>
      <c r="AS111" s="662"/>
      <c r="AT111" s="662"/>
      <c r="AU111" s="803"/>
      <c r="AV111" s="662"/>
      <c r="AW111" s="803"/>
      <c r="AX111" s="1224">
        <f t="shared" si="138"/>
        <v>0.4</v>
      </c>
      <c r="AY111" s="1225">
        <f t="shared" si="139"/>
        <v>4</v>
      </c>
      <c r="AZ111" s="932">
        <f t="shared" si="116"/>
        <v>2</v>
      </c>
      <c r="BA111" s="932">
        <f t="shared" si="117"/>
        <v>1</v>
      </c>
      <c r="BB111" s="649"/>
      <c r="BC111" s="681" t="s">
        <v>587</v>
      </c>
      <c r="BD111" s="649"/>
      <c r="BE111" s="662" t="s">
        <v>587</v>
      </c>
      <c r="BF111" s="663" t="s">
        <v>562</v>
      </c>
      <c r="BI111" s="1494"/>
      <c r="BJ111" s="494" t="s">
        <v>1199</v>
      </c>
      <c r="BK111" s="538"/>
      <c r="BL111" s="406"/>
      <c r="BM111" s="1259"/>
    </row>
    <row r="112" spans="1:65" s="590" customFormat="1" ht="12.75">
      <c r="A112" s="932" t="s">
        <v>1589</v>
      </c>
      <c r="B112" s="942"/>
      <c r="C112" s="422"/>
      <c r="D112" s="571"/>
      <c r="E112" s="571"/>
      <c r="F112" s="571"/>
      <c r="G112" s="1253"/>
      <c r="H112" s="1253"/>
      <c r="I112" s="1251"/>
      <c r="J112" s="1251"/>
      <c r="K112" s="1261"/>
      <c r="L112" s="1261"/>
      <c r="M112" s="681">
        <f>COUNTIF(M99:M111, "M")</f>
        <v>1</v>
      </c>
      <c r="N112" s="681">
        <f t="shared" ref="N112:BF112" si="140">COUNTIF(N99:N111, "M")</f>
        <v>0</v>
      </c>
      <c r="O112" s="681">
        <f t="shared" si="140"/>
        <v>7</v>
      </c>
      <c r="P112" s="663">
        <f t="shared" si="140"/>
        <v>1</v>
      </c>
      <c r="Q112" s="1252"/>
      <c r="R112" s="286"/>
      <c r="S112" s="649"/>
      <c r="T112" s="681"/>
      <c r="U112" s="681">
        <f t="shared" si="140"/>
        <v>4</v>
      </c>
      <c r="V112" s="681">
        <f t="shared" si="140"/>
        <v>4</v>
      </c>
      <c r="W112" s="681">
        <f t="shared" si="140"/>
        <v>0</v>
      </c>
      <c r="X112" s="681">
        <f t="shared" si="140"/>
        <v>0</v>
      </c>
      <c r="Y112" s="681">
        <f t="shared" si="140"/>
        <v>13</v>
      </c>
      <c r="Z112" s="681">
        <f t="shared" si="140"/>
        <v>0</v>
      </c>
      <c r="AA112" s="681">
        <f t="shared" si="140"/>
        <v>0</v>
      </c>
      <c r="AB112" s="681">
        <f t="shared" si="140"/>
        <v>0</v>
      </c>
      <c r="AC112" s="1252"/>
      <c r="AD112" s="1252"/>
      <c r="AE112" s="681"/>
      <c r="AF112" s="681"/>
      <c r="AG112" s="681">
        <f t="shared" si="140"/>
        <v>0</v>
      </c>
      <c r="AH112" s="681">
        <f t="shared" si="140"/>
        <v>0</v>
      </c>
      <c r="AI112" s="681">
        <f t="shared" si="140"/>
        <v>0</v>
      </c>
      <c r="AJ112" s="681">
        <f t="shared" si="140"/>
        <v>0</v>
      </c>
      <c r="AK112" s="681">
        <f t="shared" si="140"/>
        <v>0</v>
      </c>
      <c r="AL112" s="681">
        <f t="shared" si="140"/>
        <v>0</v>
      </c>
      <c r="AM112" s="1252"/>
      <c r="AN112" s="1252"/>
      <c r="AO112" s="681"/>
      <c r="AP112" s="681"/>
      <c r="AQ112" s="681">
        <f t="shared" si="140"/>
        <v>1</v>
      </c>
      <c r="AR112" s="681">
        <f t="shared" si="140"/>
        <v>0</v>
      </c>
      <c r="AS112" s="681">
        <f t="shared" si="140"/>
        <v>0</v>
      </c>
      <c r="AT112" s="681">
        <f t="shared" si="140"/>
        <v>0</v>
      </c>
      <c r="AU112" s="681">
        <f t="shared" si="140"/>
        <v>0</v>
      </c>
      <c r="AV112" s="681">
        <f>COUNTIF(AV99:AV111, "M")</f>
        <v>0</v>
      </c>
      <c r="AW112" s="681">
        <f t="shared" si="140"/>
        <v>0</v>
      </c>
      <c r="AX112" s="1252"/>
      <c r="AY112" s="1252"/>
      <c r="AZ112" s="681"/>
      <c r="BA112" s="681"/>
      <c r="BB112" s="681">
        <f t="shared" si="140"/>
        <v>0</v>
      </c>
      <c r="BC112" s="681">
        <f t="shared" si="140"/>
        <v>3</v>
      </c>
      <c r="BD112" s="681">
        <f t="shared" si="140"/>
        <v>0</v>
      </c>
      <c r="BE112" s="681">
        <f t="shared" si="140"/>
        <v>10</v>
      </c>
      <c r="BF112" s="681">
        <f t="shared" si="140"/>
        <v>7</v>
      </c>
      <c r="BI112" s="1262"/>
      <c r="BJ112" s="497"/>
      <c r="BK112" s="406"/>
      <c r="BL112" s="406"/>
      <c r="BM112" s="1259"/>
    </row>
    <row r="113" spans="1:65" s="590" customFormat="1" ht="12.75">
      <c r="A113" s="932" t="s">
        <v>1590</v>
      </c>
      <c r="B113" s="942"/>
      <c r="C113" s="422"/>
      <c r="D113" s="571"/>
      <c r="E113" s="571"/>
      <c r="F113" s="571"/>
      <c r="G113" s="1253"/>
      <c r="H113" s="1253"/>
      <c r="I113" s="1251"/>
      <c r="J113" s="1251"/>
      <c r="K113" s="1261"/>
      <c r="L113" s="1261"/>
      <c r="M113" s="681">
        <f>COUNTIF(M99:M111, "H")</f>
        <v>0</v>
      </c>
      <c r="N113" s="681">
        <f t="shared" ref="N113:BF113" si="141">COUNTIF(N99:N111, "H")</f>
        <v>0</v>
      </c>
      <c r="O113" s="681">
        <f t="shared" si="141"/>
        <v>6</v>
      </c>
      <c r="P113" s="663">
        <f t="shared" si="141"/>
        <v>0</v>
      </c>
      <c r="Q113" s="1252"/>
      <c r="R113" s="286"/>
      <c r="S113" s="649"/>
      <c r="T113" s="681"/>
      <c r="U113" s="681">
        <f t="shared" si="141"/>
        <v>0</v>
      </c>
      <c r="V113" s="681">
        <f t="shared" si="141"/>
        <v>0</v>
      </c>
      <c r="W113" s="681">
        <f t="shared" si="141"/>
        <v>1</v>
      </c>
      <c r="X113" s="681">
        <f t="shared" si="141"/>
        <v>0</v>
      </c>
      <c r="Y113" s="681">
        <f t="shared" si="141"/>
        <v>0</v>
      </c>
      <c r="Z113" s="681">
        <f t="shared" si="141"/>
        <v>2</v>
      </c>
      <c r="AA113" s="681">
        <f t="shared" si="141"/>
        <v>0</v>
      </c>
      <c r="AB113" s="681">
        <f t="shared" si="141"/>
        <v>1</v>
      </c>
      <c r="AC113" s="1252"/>
      <c r="AD113" s="1252"/>
      <c r="AE113" s="681"/>
      <c r="AF113" s="681"/>
      <c r="AG113" s="681">
        <f t="shared" si="141"/>
        <v>0</v>
      </c>
      <c r="AH113" s="681">
        <f t="shared" si="141"/>
        <v>0</v>
      </c>
      <c r="AI113" s="681">
        <f t="shared" si="141"/>
        <v>0</v>
      </c>
      <c r="AJ113" s="681">
        <f t="shared" si="141"/>
        <v>0</v>
      </c>
      <c r="AK113" s="681">
        <f t="shared" si="141"/>
        <v>0</v>
      </c>
      <c r="AL113" s="681">
        <f t="shared" si="141"/>
        <v>0</v>
      </c>
      <c r="AM113" s="1252"/>
      <c r="AN113" s="1252"/>
      <c r="AO113" s="681"/>
      <c r="AP113" s="681"/>
      <c r="AQ113" s="681">
        <f t="shared" si="141"/>
        <v>0</v>
      </c>
      <c r="AR113" s="681">
        <f t="shared" si="141"/>
        <v>0</v>
      </c>
      <c r="AS113" s="681">
        <f t="shared" si="141"/>
        <v>0</v>
      </c>
      <c r="AT113" s="681">
        <f t="shared" si="141"/>
        <v>0</v>
      </c>
      <c r="AU113" s="681">
        <f t="shared" si="141"/>
        <v>0</v>
      </c>
      <c r="AV113" s="681">
        <f t="shared" si="141"/>
        <v>0</v>
      </c>
      <c r="AW113" s="681">
        <f t="shared" si="141"/>
        <v>0</v>
      </c>
      <c r="AX113" s="1252"/>
      <c r="AY113" s="1252"/>
      <c r="AZ113" s="681"/>
      <c r="BA113" s="681"/>
      <c r="BB113" s="681">
        <f t="shared" si="141"/>
        <v>0</v>
      </c>
      <c r="BC113" s="681">
        <f t="shared" si="141"/>
        <v>8</v>
      </c>
      <c r="BD113" s="681">
        <f t="shared" si="141"/>
        <v>9</v>
      </c>
      <c r="BE113" s="681">
        <f t="shared" si="141"/>
        <v>3</v>
      </c>
      <c r="BF113" s="681">
        <f t="shared" si="141"/>
        <v>6</v>
      </c>
      <c r="BI113" s="1262"/>
      <c r="BJ113" s="497"/>
      <c r="BK113" s="406"/>
      <c r="BL113" s="406"/>
      <c r="BM113" s="1259"/>
    </row>
    <row r="114" spans="1:65" s="995" customFormat="1" ht="45">
      <c r="A114" s="1495" t="s">
        <v>565</v>
      </c>
      <c r="B114" s="509" t="s">
        <v>1008</v>
      </c>
      <c r="C114" s="421" t="s">
        <v>1437</v>
      </c>
      <c r="D114" s="1207">
        <f t="shared" ref="D114:D131" si="142">E114+F114</f>
        <v>20</v>
      </c>
      <c r="E114" s="1207">
        <f t="shared" ref="E114:E131" si="143">G114*1</f>
        <v>4</v>
      </c>
      <c r="F114" s="1207">
        <f t="shared" ref="F114:F131" si="144">H114*2</f>
        <v>16</v>
      </c>
      <c r="G114" s="1290">
        <f t="shared" ref="G114:H131" si="145">SUM(K114+S114+AE114+AO114+AZ114)</f>
        <v>4</v>
      </c>
      <c r="H114" s="1290">
        <f t="shared" si="145"/>
        <v>8</v>
      </c>
      <c r="I114" s="1224">
        <f t="shared" ref="I114:I131" si="146">J114/8</f>
        <v>0.375</v>
      </c>
      <c r="J114" s="1225">
        <f t="shared" ref="J114:J131" si="147">K114+(L114*2)</f>
        <v>3</v>
      </c>
      <c r="K114" s="1061">
        <f t="shared" ref="K114:K131" si="148">COUNTIF(M114:P114, "M")</f>
        <v>1</v>
      </c>
      <c r="L114" s="1291">
        <f t="shared" ref="L114:L131" si="149">COUNTIF(M114:P114, "H")</f>
        <v>1</v>
      </c>
      <c r="M114" s="685" t="s">
        <v>587</v>
      </c>
      <c r="N114" s="685"/>
      <c r="O114" s="685" t="s">
        <v>562</v>
      </c>
      <c r="P114" s="669"/>
      <c r="Q114" s="1224">
        <f t="shared" ref="Q114:Q131" si="150">R114/16</f>
        <v>0.6875</v>
      </c>
      <c r="R114" s="1225">
        <f t="shared" ref="R114:R131" si="151">S114+(T114*2)</f>
        <v>11</v>
      </c>
      <c r="S114" s="990">
        <f t="shared" si="130"/>
        <v>1</v>
      </c>
      <c r="T114" s="1061">
        <f t="shared" si="131"/>
        <v>5</v>
      </c>
      <c r="U114" s="685" t="s">
        <v>562</v>
      </c>
      <c r="V114" s="653" t="s">
        <v>562</v>
      </c>
      <c r="W114" s="685" t="s">
        <v>562</v>
      </c>
      <c r="X114" s="685"/>
      <c r="Y114" s="653" t="s">
        <v>562</v>
      </c>
      <c r="Z114" s="685"/>
      <c r="AA114" s="1292" t="s">
        <v>562</v>
      </c>
      <c r="AB114" s="685" t="s">
        <v>587</v>
      </c>
      <c r="AC114" s="1244"/>
      <c r="AD114" s="1244"/>
      <c r="AE114" s="1061">
        <f t="shared" ref="AE114:AE131" si="152">COUNTIF(AG114:AL114, "M")</f>
        <v>0</v>
      </c>
      <c r="AF114" s="1061">
        <f t="shared" ref="AF114:AF131" si="153">COUNTIF(AG114:AL114, "H")</f>
        <v>0</v>
      </c>
      <c r="AG114" s="685"/>
      <c r="AH114" s="654"/>
      <c r="AI114" s="654"/>
      <c r="AJ114" s="807"/>
      <c r="AK114" s="1293"/>
      <c r="AL114" s="1294"/>
      <c r="AM114" s="1224">
        <f t="shared" ref="AM114:AM131" si="154">AN114/14</f>
        <v>7.1428571428571425E-2</v>
      </c>
      <c r="AN114" s="1225">
        <f t="shared" ref="AN114:AN131" si="155">AO114+(AP114*2)</f>
        <v>1</v>
      </c>
      <c r="AO114" s="1061">
        <f t="shared" ref="AO114:AO131" si="156">COUNTIF(AQ114:AW114, "M")</f>
        <v>1</v>
      </c>
      <c r="AP114" s="1061">
        <f t="shared" ref="AP114:AP131" si="157">COUNTIF(AQ114:AW114, "H")</f>
        <v>0</v>
      </c>
      <c r="AQ114" s="654" t="s">
        <v>587</v>
      </c>
      <c r="AR114" s="654"/>
      <c r="AS114" s="654"/>
      <c r="AT114" s="654"/>
      <c r="AU114" s="807"/>
      <c r="AV114" s="654"/>
      <c r="AW114" s="807"/>
      <c r="AX114" s="1224">
        <f t="shared" ref="AX114:AX131" si="158">AY114/10</f>
        <v>0.5</v>
      </c>
      <c r="AY114" s="1225">
        <f t="shared" ref="AY114:AY131" si="159">AZ114+(BA114*2)</f>
        <v>5</v>
      </c>
      <c r="AZ114" s="1061">
        <f t="shared" si="116"/>
        <v>1</v>
      </c>
      <c r="BA114" s="1061">
        <f t="shared" si="117"/>
        <v>2</v>
      </c>
      <c r="BB114" s="653"/>
      <c r="BC114" s="685"/>
      <c r="BD114" s="653" t="s">
        <v>562</v>
      </c>
      <c r="BE114" s="654" t="s">
        <v>587</v>
      </c>
      <c r="BF114" s="669" t="s">
        <v>562</v>
      </c>
      <c r="BI114" s="1295" t="s">
        <v>1189</v>
      </c>
      <c r="BJ114" s="504" t="s">
        <v>1198</v>
      </c>
      <c r="BK114" s="592"/>
      <c r="BL114" s="994"/>
      <c r="BM114" s="1296"/>
    </row>
    <row r="115" spans="1:65" s="995" customFormat="1" ht="12.75">
      <c r="A115" s="1496"/>
      <c r="B115" s="1498" t="s">
        <v>1080</v>
      </c>
      <c r="C115" s="421" t="s">
        <v>1050</v>
      </c>
      <c r="D115" s="1207">
        <f t="shared" si="142"/>
        <v>23</v>
      </c>
      <c r="E115" s="1207">
        <f t="shared" si="143"/>
        <v>5</v>
      </c>
      <c r="F115" s="1207">
        <f t="shared" si="144"/>
        <v>18</v>
      </c>
      <c r="G115" s="1290">
        <f t="shared" si="145"/>
        <v>5</v>
      </c>
      <c r="H115" s="1290">
        <f t="shared" si="145"/>
        <v>9</v>
      </c>
      <c r="I115" s="1224">
        <f t="shared" si="146"/>
        <v>0.375</v>
      </c>
      <c r="J115" s="1225">
        <f t="shared" si="147"/>
        <v>3</v>
      </c>
      <c r="K115" s="1061">
        <f t="shared" si="148"/>
        <v>1</v>
      </c>
      <c r="L115" s="1291">
        <f t="shared" si="149"/>
        <v>1</v>
      </c>
      <c r="M115" s="685" t="s">
        <v>587</v>
      </c>
      <c r="N115" s="685"/>
      <c r="O115" s="685" t="s">
        <v>562</v>
      </c>
      <c r="P115" s="669"/>
      <c r="Q115" s="1224">
        <f t="shared" si="150"/>
        <v>0.6875</v>
      </c>
      <c r="R115" s="1225">
        <f t="shared" si="151"/>
        <v>11</v>
      </c>
      <c r="S115" s="990">
        <f t="shared" si="130"/>
        <v>1</v>
      </c>
      <c r="T115" s="1061">
        <f t="shared" si="131"/>
        <v>5</v>
      </c>
      <c r="U115" s="685" t="s">
        <v>562</v>
      </c>
      <c r="V115" s="653" t="s">
        <v>562</v>
      </c>
      <c r="W115" s="685" t="s">
        <v>562</v>
      </c>
      <c r="X115" s="685"/>
      <c r="Y115" s="653" t="s">
        <v>562</v>
      </c>
      <c r="Z115" s="685"/>
      <c r="AA115" s="1292" t="s">
        <v>562</v>
      </c>
      <c r="AB115" s="685" t="s">
        <v>587</v>
      </c>
      <c r="AC115" s="1244"/>
      <c r="AD115" s="1244"/>
      <c r="AE115" s="1061">
        <f t="shared" si="152"/>
        <v>0</v>
      </c>
      <c r="AF115" s="1061">
        <f t="shared" si="153"/>
        <v>0</v>
      </c>
      <c r="AG115" s="685"/>
      <c r="AH115" s="654"/>
      <c r="AI115" s="654"/>
      <c r="AJ115" s="807"/>
      <c r="AK115" s="1293"/>
      <c r="AL115" s="1294"/>
      <c r="AM115" s="1224">
        <f t="shared" si="154"/>
        <v>0.21428571428571427</v>
      </c>
      <c r="AN115" s="1225">
        <f t="shared" si="155"/>
        <v>3</v>
      </c>
      <c r="AO115" s="1061">
        <f t="shared" si="156"/>
        <v>1</v>
      </c>
      <c r="AP115" s="1061">
        <f t="shared" si="157"/>
        <v>1</v>
      </c>
      <c r="AQ115" s="654" t="s">
        <v>562</v>
      </c>
      <c r="AR115" s="654" t="s">
        <v>587</v>
      </c>
      <c r="AS115" s="654"/>
      <c r="AT115" s="654"/>
      <c r="AU115" s="807"/>
      <c r="AV115" s="654"/>
      <c r="AW115" s="807"/>
      <c r="AX115" s="1224">
        <f t="shared" si="158"/>
        <v>0.6</v>
      </c>
      <c r="AY115" s="1225">
        <f t="shared" si="159"/>
        <v>6</v>
      </c>
      <c r="AZ115" s="1061">
        <f t="shared" si="116"/>
        <v>2</v>
      </c>
      <c r="BA115" s="1061">
        <f t="shared" si="117"/>
        <v>2</v>
      </c>
      <c r="BB115" s="653"/>
      <c r="BC115" s="685" t="s">
        <v>562</v>
      </c>
      <c r="BD115" s="653" t="s">
        <v>587</v>
      </c>
      <c r="BE115" s="654" t="s">
        <v>587</v>
      </c>
      <c r="BF115" s="669" t="s">
        <v>562</v>
      </c>
      <c r="BI115" s="1501" t="s">
        <v>1189</v>
      </c>
      <c r="BJ115" s="1504" t="s">
        <v>1197</v>
      </c>
      <c r="BK115" s="592"/>
      <c r="BL115" s="994"/>
      <c r="BM115" s="1296"/>
    </row>
    <row r="116" spans="1:65" s="995" customFormat="1" ht="12.75">
      <c r="A116" s="1496"/>
      <c r="B116" s="1499"/>
      <c r="C116" s="421" t="s">
        <v>1049</v>
      </c>
      <c r="D116" s="1207">
        <f t="shared" si="142"/>
        <v>20</v>
      </c>
      <c r="E116" s="1207">
        <f t="shared" si="143"/>
        <v>4</v>
      </c>
      <c r="F116" s="1207">
        <f t="shared" si="144"/>
        <v>16</v>
      </c>
      <c r="G116" s="1290">
        <f t="shared" si="145"/>
        <v>4</v>
      </c>
      <c r="H116" s="1290">
        <f t="shared" si="145"/>
        <v>8</v>
      </c>
      <c r="I116" s="1224">
        <f t="shared" si="146"/>
        <v>0.25</v>
      </c>
      <c r="J116" s="1225">
        <f t="shared" si="147"/>
        <v>2</v>
      </c>
      <c r="K116" s="1061">
        <f t="shared" si="148"/>
        <v>2</v>
      </c>
      <c r="L116" s="1291">
        <f t="shared" si="149"/>
        <v>0</v>
      </c>
      <c r="M116" s="685" t="s">
        <v>587</v>
      </c>
      <c r="N116" s="685"/>
      <c r="O116" s="685" t="s">
        <v>587</v>
      </c>
      <c r="P116" s="669"/>
      <c r="Q116" s="1224">
        <f t="shared" si="150"/>
        <v>0.6875</v>
      </c>
      <c r="R116" s="1225">
        <f t="shared" si="151"/>
        <v>11</v>
      </c>
      <c r="S116" s="990">
        <f t="shared" si="130"/>
        <v>1</v>
      </c>
      <c r="T116" s="1061">
        <f t="shared" si="131"/>
        <v>5</v>
      </c>
      <c r="U116" s="685" t="s">
        <v>562</v>
      </c>
      <c r="V116" s="653" t="s">
        <v>562</v>
      </c>
      <c r="W116" s="685" t="s">
        <v>562</v>
      </c>
      <c r="X116" s="685"/>
      <c r="Y116" s="653" t="s">
        <v>562</v>
      </c>
      <c r="Z116" s="685"/>
      <c r="AA116" s="1292" t="s">
        <v>562</v>
      </c>
      <c r="AB116" s="685" t="s">
        <v>587</v>
      </c>
      <c r="AC116" s="1244"/>
      <c r="AD116" s="1244"/>
      <c r="AE116" s="1061">
        <f t="shared" si="152"/>
        <v>0</v>
      </c>
      <c r="AF116" s="1061">
        <f t="shared" si="153"/>
        <v>0</v>
      </c>
      <c r="AG116" s="685"/>
      <c r="AH116" s="654"/>
      <c r="AI116" s="654"/>
      <c r="AJ116" s="807"/>
      <c r="AK116" s="1293"/>
      <c r="AL116" s="1294"/>
      <c r="AM116" s="1224">
        <f t="shared" si="154"/>
        <v>0.14285714285714285</v>
      </c>
      <c r="AN116" s="1225">
        <f t="shared" si="155"/>
        <v>2</v>
      </c>
      <c r="AO116" s="1061">
        <f t="shared" si="156"/>
        <v>0</v>
      </c>
      <c r="AP116" s="1061">
        <f t="shared" si="157"/>
        <v>1</v>
      </c>
      <c r="AQ116" s="654" t="s">
        <v>562</v>
      </c>
      <c r="AR116" s="654" t="s">
        <v>1572</v>
      </c>
      <c r="AS116" s="654"/>
      <c r="AT116" s="654"/>
      <c r="AU116" s="807"/>
      <c r="AV116" s="654"/>
      <c r="AW116" s="807"/>
      <c r="AX116" s="1224">
        <f t="shared" si="158"/>
        <v>0.5</v>
      </c>
      <c r="AY116" s="1225">
        <f t="shared" si="159"/>
        <v>5</v>
      </c>
      <c r="AZ116" s="1061">
        <f t="shared" si="116"/>
        <v>1</v>
      </c>
      <c r="BA116" s="1061">
        <f t="shared" si="117"/>
        <v>2</v>
      </c>
      <c r="BB116" s="653"/>
      <c r="BC116" s="685" t="s">
        <v>587</v>
      </c>
      <c r="BD116" s="654"/>
      <c r="BE116" s="654" t="s">
        <v>562</v>
      </c>
      <c r="BF116" s="669" t="s">
        <v>562</v>
      </c>
      <c r="BI116" s="1502"/>
      <c r="BJ116" s="1505"/>
      <c r="BK116" s="592"/>
      <c r="BL116" s="994"/>
      <c r="BM116" s="1296"/>
    </row>
    <row r="117" spans="1:65" s="995" customFormat="1" ht="12.75">
      <c r="A117" s="1496"/>
      <c r="B117" s="1499"/>
      <c r="C117" s="421" t="s">
        <v>1048</v>
      </c>
      <c r="D117" s="1207">
        <f t="shared" si="142"/>
        <v>22</v>
      </c>
      <c r="E117" s="1207">
        <f t="shared" si="143"/>
        <v>2</v>
      </c>
      <c r="F117" s="1207">
        <f t="shared" si="144"/>
        <v>20</v>
      </c>
      <c r="G117" s="1290">
        <f t="shared" si="145"/>
        <v>2</v>
      </c>
      <c r="H117" s="1290">
        <f t="shared" si="145"/>
        <v>10</v>
      </c>
      <c r="I117" s="1224">
        <f t="shared" si="146"/>
        <v>0.375</v>
      </c>
      <c r="J117" s="1225">
        <f t="shared" si="147"/>
        <v>3</v>
      </c>
      <c r="K117" s="1061">
        <f t="shared" si="148"/>
        <v>1</v>
      </c>
      <c r="L117" s="1291">
        <f t="shared" si="149"/>
        <v>1</v>
      </c>
      <c r="M117" s="685" t="s">
        <v>587</v>
      </c>
      <c r="N117" s="685"/>
      <c r="O117" s="685" t="s">
        <v>562</v>
      </c>
      <c r="P117" s="669"/>
      <c r="Q117" s="1224">
        <f t="shared" si="150"/>
        <v>0.625</v>
      </c>
      <c r="R117" s="1225">
        <f t="shared" si="151"/>
        <v>10</v>
      </c>
      <c r="S117" s="990">
        <f t="shared" si="130"/>
        <v>0</v>
      </c>
      <c r="T117" s="1061">
        <f t="shared" si="131"/>
        <v>5</v>
      </c>
      <c r="U117" s="685" t="s">
        <v>562</v>
      </c>
      <c r="V117" s="653" t="s">
        <v>562</v>
      </c>
      <c r="W117" s="685" t="s">
        <v>562</v>
      </c>
      <c r="X117" s="685"/>
      <c r="Y117" s="653" t="s">
        <v>562</v>
      </c>
      <c r="Z117" s="685"/>
      <c r="AA117" s="1292" t="s">
        <v>562</v>
      </c>
      <c r="AB117" s="685"/>
      <c r="AC117" s="1244"/>
      <c r="AD117" s="1244"/>
      <c r="AE117" s="1061">
        <f t="shared" si="152"/>
        <v>0</v>
      </c>
      <c r="AF117" s="1061">
        <f t="shared" si="153"/>
        <v>0</v>
      </c>
      <c r="AG117" s="685"/>
      <c r="AH117" s="654"/>
      <c r="AI117" s="654"/>
      <c r="AJ117" s="807"/>
      <c r="AK117" s="1293"/>
      <c r="AL117" s="1294"/>
      <c r="AM117" s="1224">
        <f t="shared" si="154"/>
        <v>0.14285714285714285</v>
      </c>
      <c r="AN117" s="1225">
        <f t="shared" si="155"/>
        <v>2</v>
      </c>
      <c r="AO117" s="1061">
        <f t="shared" si="156"/>
        <v>0</v>
      </c>
      <c r="AP117" s="1061">
        <f t="shared" si="157"/>
        <v>1</v>
      </c>
      <c r="AQ117" s="654" t="s">
        <v>562</v>
      </c>
      <c r="AR117" s="654"/>
      <c r="AS117" s="654"/>
      <c r="AT117" s="654"/>
      <c r="AU117" s="807"/>
      <c r="AV117" s="654"/>
      <c r="AW117" s="807"/>
      <c r="AX117" s="1224">
        <f t="shared" si="158"/>
        <v>0.7</v>
      </c>
      <c r="AY117" s="1225">
        <f t="shared" si="159"/>
        <v>7</v>
      </c>
      <c r="AZ117" s="1061">
        <f t="shared" si="116"/>
        <v>1</v>
      </c>
      <c r="BA117" s="1061">
        <f t="shared" si="117"/>
        <v>3</v>
      </c>
      <c r="BB117" s="653"/>
      <c r="BC117" s="685" t="s">
        <v>562</v>
      </c>
      <c r="BD117" s="654" t="s">
        <v>562</v>
      </c>
      <c r="BE117" s="654" t="s">
        <v>587</v>
      </c>
      <c r="BF117" s="669" t="s">
        <v>562</v>
      </c>
      <c r="BI117" s="1502"/>
      <c r="BJ117" s="1505"/>
      <c r="BK117" s="592"/>
      <c r="BL117" s="994"/>
      <c r="BM117" s="1296"/>
    </row>
    <row r="118" spans="1:65" s="995" customFormat="1" ht="12.75">
      <c r="A118" s="1496"/>
      <c r="B118" s="1499"/>
      <c r="C118" s="421" t="s">
        <v>1447</v>
      </c>
      <c r="D118" s="1207">
        <f t="shared" si="142"/>
        <v>19</v>
      </c>
      <c r="E118" s="1207">
        <f t="shared" si="143"/>
        <v>5</v>
      </c>
      <c r="F118" s="1207">
        <f t="shared" si="144"/>
        <v>14</v>
      </c>
      <c r="G118" s="1290">
        <f t="shared" si="145"/>
        <v>5</v>
      </c>
      <c r="H118" s="1290">
        <f t="shared" si="145"/>
        <v>7</v>
      </c>
      <c r="I118" s="1224">
        <f t="shared" si="146"/>
        <v>0.375</v>
      </c>
      <c r="J118" s="1225">
        <f t="shared" si="147"/>
        <v>3</v>
      </c>
      <c r="K118" s="1061">
        <f t="shared" si="148"/>
        <v>1</v>
      </c>
      <c r="L118" s="1291">
        <f t="shared" si="149"/>
        <v>1</v>
      </c>
      <c r="M118" s="685" t="s">
        <v>587</v>
      </c>
      <c r="N118" s="685"/>
      <c r="O118" s="685" t="s">
        <v>562</v>
      </c>
      <c r="P118" s="669"/>
      <c r="Q118" s="1224">
        <f t="shared" si="150"/>
        <v>0.625</v>
      </c>
      <c r="R118" s="1225">
        <f t="shared" si="151"/>
        <v>10</v>
      </c>
      <c r="S118" s="990">
        <f t="shared" si="130"/>
        <v>0</v>
      </c>
      <c r="T118" s="1061">
        <f t="shared" si="131"/>
        <v>5</v>
      </c>
      <c r="U118" s="685" t="s">
        <v>562</v>
      </c>
      <c r="V118" s="653" t="s">
        <v>562</v>
      </c>
      <c r="W118" s="685" t="s">
        <v>562</v>
      </c>
      <c r="X118" s="685"/>
      <c r="Y118" s="653" t="s">
        <v>562</v>
      </c>
      <c r="Z118" s="685"/>
      <c r="AA118" s="1292" t="s">
        <v>562</v>
      </c>
      <c r="AB118" s="685"/>
      <c r="AC118" s="1244"/>
      <c r="AD118" s="1244"/>
      <c r="AE118" s="1061">
        <f t="shared" si="152"/>
        <v>0</v>
      </c>
      <c r="AF118" s="1061">
        <f t="shared" si="153"/>
        <v>0</v>
      </c>
      <c r="AG118" s="685"/>
      <c r="AH118" s="654"/>
      <c r="AI118" s="654"/>
      <c r="AJ118" s="807"/>
      <c r="AK118" s="1293"/>
      <c r="AL118" s="1294"/>
      <c r="AM118" s="1224">
        <f t="shared" si="154"/>
        <v>7.1428571428571425E-2</v>
      </c>
      <c r="AN118" s="1225">
        <f t="shared" si="155"/>
        <v>1</v>
      </c>
      <c r="AO118" s="1061">
        <f t="shared" si="156"/>
        <v>1</v>
      </c>
      <c r="AP118" s="1061">
        <f t="shared" si="157"/>
        <v>0</v>
      </c>
      <c r="AQ118" s="654" t="s">
        <v>587</v>
      </c>
      <c r="AR118" s="654"/>
      <c r="AS118" s="654"/>
      <c r="AT118" s="654"/>
      <c r="AU118" s="807"/>
      <c r="AV118" s="654"/>
      <c r="AW118" s="807"/>
      <c r="AX118" s="1224">
        <f t="shared" si="158"/>
        <v>0.5</v>
      </c>
      <c r="AY118" s="1225">
        <f t="shared" si="159"/>
        <v>5</v>
      </c>
      <c r="AZ118" s="1061">
        <f t="shared" si="116"/>
        <v>3</v>
      </c>
      <c r="BA118" s="1061">
        <f t="shared" si="117"/>
        <v>1</v>
      </c>
      <c r="BB118" s="653"/>
      <c r="BC118" s="685" t="s">
        <v>587</v>
      </c>
      <c r="BD118" s="654" t="s">
        <v>562</v>
      </c>
      <c r="BE118" s="654" t="s">
        <v>587</v>
      </c>
      <c r="BF118" s="669" t="s">
        <v>587</v>
      </c>
      <c r="BI118" s="1502"/>
      <c r="BJ118" s="1505"/>
      <c r="BK118" s="592"/>
      <c r="BL118" s="994"/>
      <c r="BM118" s="1296"/>
    </row>
    <row r="119" spans="1:65" s="995" customFormat="1" ht="12.75">
      <c r="A119" s="1496"/>
      <c r="B119" s="1500"/>
      <c r="C119" s="421" t="s">
        <v>1063</v>
      </c>
      <c r="D119" s="1207">
        <f t="shared" si="142"/>
        <v>15</v>
      </c>
      <c r="E119" s="1207">
        <f t="shared" si="143"/>
        <v>5</v>
      </c>
      <c r="F119" s="1207">
        <f t="shared" si="144"/>
        <v>10</v>
      </c>
      <c r="G119" s="1290">
        <f t="shared" si="145"/>
        <v>5</v>
      </c>
      <c r="H119" s="1290">
        <f t="shared" si="145"/>
        <v>5</v>
      </c>
      <c r="I119" s="1224">
        <f t="shared" si="146"/>
        <v>0.25</v>
      </c>
      <c r="J119" s="1225">
        <f t="shared" si="147"/>
        <v>2</v>
      </c>
      <c r="K119" s="1061">
        <f t="shared" si="148"/>
        <v>2</v>
      </c>
      <c r="L119" s="1291">
        <f t="shared" si="149"/>
        <v>0</v>
      </c>
      <c r="M119" s="685" t="s">
        <v>587</v>
      </c>
      <c r="N119" s="685"/>
      <c r="O119" s="685" t="s">
        <v>587</v>
      </c>
      <c r="P119" s="669"/>
      <c r="Q119" s="1224">
        <f t="shared" si="150"/>
        <v>0.4375</v>
      </c>
      <c r="R119" s="1225">
        <f t="shared" si="151"/>
        <v>7</v>
      </c>
      <c r="S119" s="990">
        <f t="shared" si="130"/>
        <v>1</v>
      </c>
      <c r="T119" s="1061">
        <f t="shared" si="131"/>
        <v>3</v>
      </c>
      <c r="U119" s="685" t="s">
        <v>587</v>
      </c>
      <c r="V119" s="653" t="s">
        <v>562</v>
      </c>
      <c r="W119" s="685" t="s">
        <v>562</v>
      </c>
      <c r="X119" s="685"/>
      <c r="Y119" s="653" t="s">
        <v>562</v>
      </c>
      <c r="Z119" s="685"/>
      <c r="AA119" s="1292"/>
      <c r="AB119" s="685"/>
      <c r="AC119" s="1244"/>
      <c r="AD119" s="1244"/>
      <c r="AE119" s="1061">
        <f t="shared" si="152"/>
        <v>0</v>
      </c>
      <c r="AF119" s="1061">
        <f t="shared" si="153"/>
        <v>0</v>
      </c>
      <c r="AG119" s="685"/>
      <c r="AH119" s="654"/>
      <c r="AI119" s="654"/>
      <c r="AJ119" s="807"/>
      <c r="AK119" s="1293"/>
      <c r="AL119" s="1294"/>
      <c r="AM119" s="1224">
        <f t="shared" si="154"/>
        <v>7.1428571428571425E-2</v>
      </c>
      <c r="AN119" s="1225">
        <f t="shared" si="155"/>
        <v>1</v>
      </c>
      <c r="AO119" s="1061">
        <f t="shared" si="156"/>
        <v>1</v>
      </c>
      <c r="AP119" s="1061">
        <f t="shared" si="157"/>
        <v>0</v>
      </c>
      <c r="AQ119" s="654" t="s">
        <v>587</v>
      </c>
      <c r="AR119" s="654"/>
      <c r="AS119" s="654"/>
      <c r="AT119" s="654"/>
      <c r="AU119" s="807"/>
      <c r="AV119" s="654"/>
      <c r="AW119" s="807"/>
      <c r="AX119" s="1224">
        <f t="shared" si="158"/>
        <v>0.5</v>
      </c>
      <c r="AY119" s="1225">
        <f t="shared" si="159"/>
        <v>5</v>
      </c>
      <c r="AZ119" s="1061">
        <f t="shared" si="116"/>
        <v>1</v>
      </c>
      <c r="BA119" s="1061">
        <f t="shared" si="117"/>
        <v>2</v>
      </c>
      <c r="BB119" s="653"/>
      <c r="BC119" s="685" t="s">
        <v>587</v>
      </c>
      <c r="BD119" s="654"/>
      <c r="BE119" s="654" t="s">
        <v>562</v>
      </c>
      <c r="BF119" s="669" t="s">
        <v>562</v>
      </c>
      <c r="BI119" s="1503"/>
      <c r="BJ119" s="1506"/>
      <c r="BK119" s="592"/>
      <c r="BL119" s="994"/>
      <c r="BM119" s="1296"/>
    </row>
    <row r="120" spans="1:65" s="995" customFormat="1" ht="33.75">
      <c r="A120" s="1496"/>
      <c r="B120" s="1495" t="s">
        <v>1438</v>
      </c>
      <c r="C120" s="984" t="s">
        <v>1347</v>
      </c>
      <c r="D120" s="1207">
        <f t="shared" si="142"/>
        <v>8</v>
      </c>
      <c r="E120" s="1207">
        <f t="shared" si="143"/>
        <v>2</v>
      </c>
      <c r="F120" s="1207">
        <f t="shared" si="144"/>
        <v>6</v>
      </c>
      <c r="G120" s="1290">
        <f t="shared" si="145"/>
        <v>2</v>
      </c>
      <c r="H120" s="1290">
        <f t="shared" si="145"/>
        <v>3</v>
      </c>
      <c r="I120" s="1224">
        <f t="shared" si="146"/>
        <v>0.5</v>
      </c>
      <c r="J120" s="1225">
        <f t="shared" si="147"/>
        <v>4</v>
      </c>
      <c r="K120" s="1061">
        <f t="shared" si="148"/>
        <v>0</v>
      </c>
      <c r="L120" s="1291">
        <f t="shared" si="149"/>
        <v>2</v>
      </c>
      <c r="M120" s="685" t="s">
        <v>562</v>
      </c>
      <c r="N120" s="685"/>
      <c r="O120" s="685" t="s">
        <v>562</v>
      </c>
      <c r="P120" s="669"/>
      <c r="Q120" s="1224">
        <f t="shared" si="150"/>
        <v>0.25</v>
      </c>
      <c r="R120" s="1225">
        <f t="shared" si="151"/>
        <v>4</v>
      </c>
      <c r="S120" s="990">
        <f t="shared" si="130"/>
        <v>2</v>
      </c>
      <c r="T120" s="1061">
        <f t="shared" si="131"/>
        <v>1</v>
      </c>
      <c r="U120" s="685" t="s">
        <v>587</v>
      </c>
      <c r="V120" s="653" t="s">
        <v>587</v>
      </c>
      <c r="W120" s="685"/>
      <c r="X120" s="685"/>
      <c r="Y120" s="653" t="s">
        <v>562</v>
      </c>
      <c r="Z120" s="685"/>
      <c r="AA120" s="1292"/>
      <c r="AB120" s="685"/>
      <c r="AC120" s="1244"/>
      <c r="AD120" s="1244"/>
      <c r="AE120" s="1061">
        <f t="shared" si="152"/>
        <v>0</v>
      </c>
      <c r="AF120" s="1061">
        <f t="shared" si="153"/>
        <v>0</v>
      </c>
      <c r="AG120" s="685"/>
      <c r="AH120" s="654"/>
      <c r="AI120" s="654"/>
      <c r="AJ120" s="807"/>
      <c r="AK120" s="1293"/>
      <c r="AL120" s="1294"/>
      <c r="AM120" s="1224">
        <f t="shared" si="154"/>
        <v>0</v>
      </c>
      <c r="AN120" s="1225">
        <f t="shared" si="155"/>
        <v>0</v>
      </c>
      <c r="AO120" s="1061">
        <f t="shared" si="156"/>
        <v>0</v>
      </c>
      <c r="AP120" s="1061">
        <f t="shared" si="157"/>
        <v>0</v>
      </c>
      <c r="AQ120" s="654"/>
      <c r="AR120" s="654"/>
      <c r="AS120" s="654"/>
      <c r="AT120" s="654"/>
      <c r="AU120" s="807"/>
      <c r="AV120" s="654"/>
      <c r="AW120" s="807"/>
      <c r="AX120" s="1224">
        <f t="shared" si="158"/>
        <v>0</v>
      </c>
      <c r="AY120" s="1225">
        <f t="shared" si="159"/>
        <v>0</v>
      </c>
      <c r="AZ120" s="1061">
        <f t="shared" si="116"/>
        <v>0</v>
      </c>
      <c r="BA120" s="1061">
        <f t="shared" si="117"/>
        <v>0</v>
      </c>
      <c r="BB120" s="653"/>
      <c r="BC120" s="685"/>
      <c r="BD120" s="654"/>
      <c r="BE120" s="654"/>
      <c r="BF120" s="669"/>
      <c r="BI120" s="1297"/>
      <c r="BJ120" s="1050" t="s">
        <v>1348</v>
      </c>
      <c r="BK120" s="592"/>
      <c r="BL120" s="994"/>
      <c r="BM120" s="1296"/>
    </row>
    <row r="121" spans="1:65" s="995" customFormat="1" ht="38.25">
      <c r="A121" s="1496"/>
      <c r="B121" s="1496"/>
      <c r="C121" s="421" t="s">
        <v>1005</v>
      </c>
      <c r="D121" s="1207">
        <f t="shared" si="142"/>
        <v>13</v>
      </c>
      <c r="E121" s="1207">
        <f t="shared" si="143"/>
        <v>1</v>
      </c>
      <c r="F121" s="1207">
        <f t="shared" si="144"/>
        <v>12</v>
      </c>
      <c r="G121" s="1290">
        <f t="shared" si="145"/>
        <v>1</v>
      </c>
      <c r="H121" s="1290">
        <f t="shared" si="145"/>
        <v>6</v>
      </c>
      <c r="I121" s="1224">
        <f t="shared" si="146"/>
        <v>0.5</v>
      </c>
      <c r="J121" s="1225">
        <f t="shared" si="147"/>
        <v>4</v>
      </c>
      <c r="K121" s="1061">
        <f t="shared" si="148"/>
        <v>0</v>
      </c>
      <c r="L121" s="1291">
        <f t="shared" si="149"/>
        <v>2</v>
      </c>
      <c r="M121" s="685" t="s">
        <v>562</v>
      </c>
      <c r="N121" s="685"/>
      <c r="O121" s="685" t="s">
        <v>562</v>
      </c>
      <c r="P121" s="669"/>
      <c r="Q121" s="1224">
        <f t="shared" si="150"/>
        <v>0.25</v>
      </c>
      <c r="R121" s="1225">
        <f t="shared" si="151"/>
        <v>4</v>
      </c>
      <c r="S121" s="990">
        <f t="shared" si="130"/>
        <v>0</v>
      </c>
      <c r="T121" s="1061">
        <f t="shared" si="131"/>
        <v>2</v>
      </c>
      <c r="U121" s="685"/>
      <c r="V121" s="653" t="s">
        <v>562</v>
      </c>
      <c r="W121" s="685"/>
      <c r="X121" s="685"/>
      <c r="Y121" s="653" t="s">
        <v>562</v>
      </c>
      <c r="Z121" s="685"/>
      <c r="AA121" s="1292"/>
      <c r="AB121" s="685"/>
      <c r="AC121" s="1244"/>
      <c r="AD121" s="1244"/>
      <c r="AE121" s="1061">
        <f t="shared" si="152"/>
        <v>0</v>
      </c>
      <c r="AF121" s="1061">
        <f t="shared" si="153"/>
        <v>0</v>
      </c>
      <c r="AG121" s="685"/>
      <c r="AH121" s="654"/>
      <c r="AI121" s="654"/>
      <c r="AJ121" s="807"/>
      <c r="AK121" s="1293"/>
      <c r="AL121" s="1294"/>
      <c r="AM121" s="1224">
        <f t="shared" si="154"/>
        <v>7.1428571428571425E-2</v>
      </c>
      <c r="AN121" s="1225">
        <f t="shared" si="155"/>
        <v>1</v>
      </c>
      <c r="AO121" s="1061">
        <f t="shared" si="156"/>
        <v>1</v>
      </c>
      <c r="AP121" s="1061">
        <f t="shared" si="157"/>
        <v>0</v>
      </c>
      <c r="AQ121" s="654" t="s">
        <v>587</v>
      </c>
      <c r="AR121" s="654"/>
      <c r="AS121" s="654"/>
      <c r="AT121" s="654"/>
      <c r="AU121" s="807"/>
      <c r="AV121" s="654"/>
      <c r="AW121" s="807"/>
      <c r="AX121" s="1224">
        <f t="shared" si="158"/>
        <v>0.4</v>
      </c>
      <c r="AY121" s="1225">
        <f t="shared" si="159"/>
        <v>4</v>
      </c>
      <c r="AZ121" s="1061">
        <f t="shared" si="116"/>
        <v>0</v>
      </c>
      <c r="BA121" s="1061">
        <f t="shared" si="117"/>
        <v>2</v>
      </c>
      <c r="BB121" s="653"/>
      <c r="BC121" s="685"/>
      <c r="BD121" s="653"/>
      <c r="BE121" s="654" t="s">
        <v>562</v>
      </c>
      <c r="BF121" s="669" t="s">
        <v>562</v>
      </c>
      <c r="BI121" s="1295" t="s">
        <v>1189</v>
      </c>
      <c r="BJ121" s="504" t="s">
        <v>575</v>
      </c>
      <c r="BK121" s="592"/>
      <c r="BL121" s="994"/>
      <c r="BM121" s="1296"/>
    </row>
    <row r="122" spans="1:65" s="995" customFormat="1" ht="38.25">
      <c r="A122" s="1496"/>
      <c r="B122" s="1496"/>
      <c r="C122" s="421" t="s">
        <v>953</v>
      </c>
      <c r="D122" s="1207">
        <f t="shared" si="142"/>
        <v>16</v>
      </c>
      <c r="E122" s="1207">
        <f t="shared" si="143"/>
        <v>2</v>
      </c>
      <c r="F122" s="1207">
        <f t="shared" si="144"/>
        <v>14</v>
      </c>
      <c r="G122" s="1290">
        <f t="shared" si="145"/>
        <v>2</v>
      </c>
      <c r="H122" s="1290">
        <f t="shared" si="145"/>
        <v>7</v>
      </c>
      <c r="I122" s="1224">
        <f t="shared" si="146"/>
        <v>0.5</v>
      </c>
      <c r="J122" s="1225">
        <f t="shared" si="147"/>
        <v>4</v>
      </c>
      <c r="K122" s="1061">
        <f t="shared" si="148"/>
        <v>0</v>
      </c>
      <c r="L122" s="1291">
        <f t="shared" si="149"/>
        <v>2</v>
      </c>
      <c r="M122" s="685" t="s">
        <v>562</v>
      </c>
      <c r="N122" s="685"/>
      <c r="O122" s="685" t="s">
        <v>562</v>
      </c>
      <c r="P122" s="669"/>
      <c r="Q122" s="1224">
        <f t="shared" si="150"/>
        <v>0.5</v>
      </c>
      <c r="R122" s="1225">
        <f t="shared" si="151"/>
        <v>8</v>
      </c>
      <c r="S122" s="990">
        <f t="shared" si="130"/>
        <v>0</v>
      </c>
      <c r="T122" s="1061">
        <f t="shared" si="131"/>
        <v>4</v>
      </c>
      <c r="U122" s="685"/>
      <c r="V122" s="653" t="s">
        <v>562</v>
      </c>
      <c r="W122" s="685" t="s">
        <v>562</v>
      </c>
      <c r="X122" s="685"/>
      <c r="Y122" s="653" t="s">
        <v>562</v>
      </c>
      <c r="Z122" s="685"/>
      <c r="AA122" s="1292"/>
      <c r="AB122" s="685" t="s">
        <v>562</v>
      </c>
      <c r="AC122" s="1244"/>
      <c r="AD122" s="1244"/>
      <c r="AE122" s="1061">
        <f t="shared" si="152"/>
        <v>0</v>
      </c>
      <c r="AF122" s="1061">
        <f t="shared" si="153"/>
        <v>0</v>
      </c>
      <c r="AG122" s="685"/>
      <c r="AH122" s="654"/>
      <c r="AI122" s="654"/>
      <c r="AJ122" s="807"/>
      <c r="AK122" s="1293"/>
      <c r="AL122" s="1294"/>
      <c r="AM122" s="1224">
        <f t="shared" si="154"/>
        <v>7.1428571428571425E-2</v>
      </c>
      <c r="AN122" s="1225">
        <f t="shared" si="155"/>
        <v>1</v>
      </c>
      <c r="AO122" s="1061">
        <f t="shared" si="156"/>
        <v>1</v>
      </c>
      <c r="AP122" s="1061">
        <f t="shared" si="157"/>
        <v>0</v>
      </c>
      <c r="AQ122" s="654" t="s">
        <v>587</v>
      </c>
      <c r="AR122" s="654"/>
      <c r="AS122" s="654"/>
      <c r="AT122" s="654"/>
      <c r="AU122" s="807"/>
      <c r="AV122" s="654"/>
      <c r="AW122" s="807"/>
      <c r="AX122" s="1224">
        <f t="shared" si="158"/>
        <v>0.3</v>
      </c>
      <c r="AY122" s="1225">
        <f t="shared" si="159"/>
        <v>3</v>
      </c>
      <c r="AZ122" s="1061">
        <f t="shared" si="116"/>
        <v>1</v>
      </c>
      <c r="BA122" s="1061">
        <f t="shared" si="117"/>
        <v>1</v>
      </c>
      <c r="BB122" s="653"/>
      <c r="BC122" s="685"/>
      <c r="BD122" s="653"/>
      <c r="BE122" s="654" t="s">
        <v>562</v>
      </c>
      <c r="BF122" s="669" t="s">
        <v>587</v>
      </c>
      <c r="BI122" s="1295" t="s">
        <v>1189</v>
      </c>
      <c r="BJ122" s="504" t="s">
        <v>1022</v>
      </c>
      <c r="BK122" s="592"/>
      <c r="BL122" s="994"/>
      <c r="BM122" s="1296"/>
    </row>
    <row r="123" spans="1:65" s="995" customFormat="1" ht="51">
      <c r="A123" s="1496"/>
      <c r="B123" s="1496"/>
      <c r="C123" s="421" t="s">
        <v>580</v>
      </c>
      <c r="D123" s="1207">
        <f t="shared" si="142"/>
        <v>14</v>
      </c>
      <c r="E123" s="1207">
        <f t="shared" si="143"/>
        <v>4</v>
      </c>
      <c r="F123" s="1207">
        <f t="shared" si="144"/>
        <v>10</v>
      </c>
      <c r="G123" s="1290">
        <f t="shared" si="145"/>
        <v>4</v>
      </c>
      <c r="H123" s="1290">
        <f t="shared" si="145"/>
        <v>5</v>
      </c>
      <c r="I123" s="1224">
        <f t="shared" si="146"/>
        <v>0.5</v>
      </c>
      <c r="J123" s="1225">
        <f t="shared" si="147"/>
        <v>4</v>
      </c>
      <c r="K123" s="1061">
        <f t="shared" si="148"/>
        <v>0</v>
      </c>
      <c r="L123" s="1291">
        <f t="shared" si="149"/>
        <v>2</v>
      </c>
      <c r="M123" s="685" t="s">
        <v>562</v>
      </c>
      <c r="N123" s="685"/>
      <c r="O123" s="685" t="s">
        <v>562</v>
      </c>
      <c r="P123" s="669"/>
      <c r="Q123" s="1224">
        <f t="shared" si="150"/>
        <v>0.3125</v>
      </c>
      <c r="R123" s="1225">
        <f t="shared" si="151"/>
        <v>5</v>
      </c>
      <c r="S123" s="990">
        <f t="shared" si="130"/>
        <v>1</v>
      </c>
      <c r="T123" s="1061">
        <f t="shared" si="131"/>
        <v>2</v>
      </c>
      <c r="U123" s="685" t="s">
        <v>587</v>
      </c>
      <c r="V123" s="653"/>
      <c r="W123" s="685" t="s">
        <v>562</v>
      </c>
      <c r="X123" s="685"/>
      <c r="Y123" s="653" t="s">
        <v>562</v>
      </c>
      <c r="Z123" s="685"/>
      <c r="AA123" s="1292"/>
      <c r="AB123" s="685"/>
      <c r="AC123" s="1244"/>
      <c r="AD123" s="1244"/>
      <c r="AE123" s="1061">
        <f t="shared" si="152"/>
        <v>0</v>
      </c>
      <c r="AF123" s="1061">
        <f t="shared" si="153"/>
        <v>0</v>
      </c>
      <c r="AG123" s="685"/>
      <c r="AH123" s="654"/>
      <c r="AI123" s="654"/>
      <c r="AJ123" s="807"/>
      <c r="AK123" s="1293"/>
      <c r="AL123" s="1294"/>
      <c r="AM123" s="1224">
        <f t="shared" si="154"/>
        <v>7.1428571428571425E-2</v>
      </c>
      <c r="AN123" s="1225">
        <f t="shared" si="155"/>
        <v>1</v>
      </c>
      <c r="AO123" s="1061">
        <f t="shared" si="156"/>
        <v>1</v>
      </c>
      <c r="AP123" s="1061">
        <f t="shared" si="157"/>
        <v>0</v>
      </c>
      <c r="AQ123" s="654" t="s">
        <v>587</v>
      </c>
      <c r="AR123" s="654"/>
      <c r="AS123" s="654"/>
      <c r="AT123" s="654"/>
      <c r="AU123" s="807"/>
      <c r="AV123" s="654"/>
      <c r="AW123" s="807"/>
      <c r="AX123" s="1224">
        <f t="shared" si="158"/>
        <v>0.4</v>
      </c>
      <c r="AY123" s="1225">
        <f t="shared" si="159"/>
        <v>4</v>
      </c>
      <c r="AZ123" s="1061">
        <f t="shared" si="116"/>
        <v>2</v>
      </c>
      <c r="BA123" s="1061">
        <f t="shared" si="117"/>
        <v>1</v>
      </c>
      <c r="BB123" s="653"/>
      <c r="BC123" s="685"/>
      <c r="BD123" s="653" t="s">
        <v>587</v>
      </c>
      <c r="BE123" s="654" t="s">
        <v>587</v>
      </c>
      <c r="BF123" s="669" t="s">
        <v>562</v>
      </c>
      <c r="BI123" s="1295" t="s">
        <v>1189</v>
      </c>
      <c r="BJ123" s="504" t="s">
        <v>1420</v>
      </c>
      <c r="BK123" s="592"/>
      <c r="BL123" s="994"/>
      <c r="BM123" s="1296"/>
    </row>
    <row r="124" spans="1:65" s="995" customFormat="1" ht="45">
      <c r="A124" s="1496"/>
      <c r="B124" s="1496"/>
      <c r="C124" s="421" t="s">
        <v>1081</v>
      </c>
      <c r="D124" s="1207">
        <f t="shared" si="142"/>
        <v>14</v>
      </c>
      <c r="E124" s="1207">
        <f t="shared" si="143"/>
        <v>2</v>
      </c>
      <c r="F124" s="1207">
        <f t="shared" si="144"/>
        <v>12</v>
      </c>
      <c r="G124" s="1290">
        <f t="shared" si="145"/>
        <v>2</v>
      </c>
      <c r="H124" s="1290">
        <f t="shared" si="145"/>
        <v>6</v>
      </c>
      <c r="I124" s="1224">
        <f t="shared" si="146"/>
        <v>0.25</v>
      </c>
      <c r="J124" s="1225">
        <f t="shared" si="147"/>
        <v>2</v>
      </c>
      <c r="K124" s="1061">
        <f t="shared" si="148"/>
        <v>0</v>
      </c>
      <c r="L124" s="1291">
        <f t="shared" si="149"/>
        <v>1</v>
      </c>
      <c r="M124" s="685"/>
      <c r="N124" s="685"/>
      <c r="O124" s="685" t="s">
        <v>562</v>
      </c>
      <c r="P124" s="669"/>
      <c r="Q124" s="1224">
        <f t="shared" si="150"/>
        <v>0.5</v>
      </c>
      <c r="R124" s="1225">
        <f t="shared" si="151"/>
        <v>8</v>
      </c>
      <c r="S124" s="990">
        <f t="shared" si="130"/>
        <v>0</v>
      </c>
      <c r="T124" s="1061">
        <f t="shared" si="131"/>
        <v>4</v>
      </c>
      <c r="U124" s="685"/>
      <c r="V124" s="653"/>
      <c r="W124" s="685" t="s">
        <v>562</v>
      </c>
      <c r="X124" s="685"/>
      <c r="Y124" s="653" t="s">
        <v>562</v>
      </c>
      <c r="Z124" s="685" t="s">
        <v>562</v>
      </c>
      <c r="AA124" s="1292"/>
      <c r="AB124" s="685" t="s">
        <v>562</v>
      </c>
      <c r="AC124" s="1244"/>
      <c r="AD124" s="1244"/>
      <c r="AE124" s="1061">
        <f t="shared" si="152"/>
        <v>0</v>
      </c>
      <c r="AF124" s="1061">
        <f t="shared" si="153"/>
        <v>0</v>
      </c>
      <c r="AG124" s="685"/>
      <c r="AH124" s="654"/>
      <c r="AI124" s="654"/>
      <c r="AJ124" s="807"/>
      <c r="AK124" s="1293"/>
      <c r="AL124" s="1294"/>
      <c r="AM124" s="1224">
        <f t="shared" si="154"/>
        <v>0</v>
      </c>
      <c r="AN124" s="1225">
        <f t="shared" si="155"/>
        <v>0</v>
      </c>
      <c r="AO124" s="1061">
        <f t="shared" si="156"/>
        <v>0</v>
      </c>
      <c r="AP124" s="1061">
        <f t="shared" si="157"/>
        <v>0</v>
      </c>
      <c r="AQ124" s="654"/>
      <c r="AR124" s="654"/>
      <c r="AS124" s="654"/>
      <c r="AT124" s="654"/>
      <c r="AU124" s="807"/>
      <c r="AV124" s="654"/>
      <c r="AW124" s="807"/>
      <c r="AX124" s="1224">
        <f t="shared" si="158"/>
        <v>0.4</v>
      </c>
      <c r="AY124" s="1225">
        <f t="shared" si="159"/>
        <v>4</v>
      </c>
      <c r="AZ124" s="1061">
        <f t="shared" si="116"/>
        <v>2</v>
      </c>
      <c r="BA124" s="1061">
        <f t="shared" si="117"/>
        <v>1</v>
      </c>
      <c r="BB124" s="653"/>
      <c r="BC124" s="685"/>
      <c r="BD124" s="653" t="s">
        <v>587</v>
      </c>
      <c r="BE124" s="654" t="s">
        <v>562</v>
      </c>
      <c r="BF124" s="669" t="s">
        <v>587</v>
      </c>
      <c r="BI124" s="1295"/>
      <c r="BJ124" s="504" t="s">
        <v>1194</v>
      </c>
      <c r="BK124" s="592"/>
      <c r="BL124" s="994"/>
      <c r="BM124" s="1296" t="s">
        <v>1454</v>
      </c>
    </row>
    <row r="125" spans="1:65" s="995" customFormat="1" ht="45">
      <c r="A125" s="1496"/>
      <c r="B125" s="1496"/>
      <c r="C125" s="421" t="s">
        <v>1082</v>
      </c>
      <c r="D125" s="1207">
        <f t="shared" si="142"/>
        <v>15</v>
      </c>
      <c r="E125" s="1207">
        <f t="shared" si="143"/>
        <v>3</v>
      </c>
      <c r="F125" s="1207">
        <f t="shared" si="144"/>
        <v>12</v>
      </c>
      <c r="G125" s="1290">
        <f t="shared" si="145"/>
        <v>3</v>
      </c>
      <c r="H125" s="1290">
        <f t="shared" si="145"/>
        <v>6</v>
      </c>
      <c r="I125" s="1224">
        <f t="shared" si="146"/>
        <v>0.375</v>
      </c>
      <c r="J125" s="1225">
        <f t="shared" si="147"/>
        <v>3</v>
      </c>
      <c r="K125" s="1061">
        <f t="shared" si="148"/>
        <v>1</v>
      </c>
      <c r="L125" s="1291">
        <f t="shared" si="149"/>
        <v>1</v>
      </c>
      <c r="M125" s="685" t="s">
        <v>587</v>
      </c>
      <c r="N125" s="685"/>
      <c r="O125" s="685" t="s">
        <v>562</v>
      </c>
      <c r="P125" s="669"/>
      <c r="Q125" s="1224">
        <f t="shared" si="150"/>
        <v>0.3125</v>
      </c>
      <c r="R125" s="1225">
        <f t="shared" si="151"/>
        <v>5</v>
      </c>
      <c r="S125" s="990">
        <f t="shared" si="130"/>
        <v>1</v>
      </c>
      <c r="T125" s="1061">
        <f t="shared" si="131"/>
        <v>2</v>
      </c>
      <c r="U125" s="685" t="s">
        <v>587</v>
      </c>
      <c r="V125" s="653" t="s">
        <v>562</v>
      </c>
      <c r="W125" s="685"/>
      <c r="X125" s="685"/>
      <c r="Y125" s="653" t="s">
        <v>562</v>
      </c>
      <c r="Z125" s="685"/>
      <c r="AA125" s="1292"/>
      <c r="AB125" s="685"/>
      <c r="AC125" s="1244"/>
      <c r="AD125" s="1244"/>
      <c r="AE125" s="1061">
        <f t="shared" si="152"/>
        <v>0</v>
      </c>
      <c r="AF125" s="1061">
        <f t="shared" si="153"/>
        <v>0</v>
      </c>
      <c r="AG125" s="685"/>
      <c r="AH125" s="654"/>
      <c r="AI125" s="654"/>
      <c r="AJ125" s="807"/>
      <c r="AK125" s="1293"/>
      <c r="AL125" s="1294"/>
      <c r="AM125" s="1224">
        <f t="shared" si="154"/>
        <v>7.1428571428571425E-2</v>
      </c>
      <c r="AN125" s="1225">
        <f t="shared" si="155"/>
        <v>1</v>
      </c>
      <c r="AO125" s="1061">
        <f t="shared" si="156"/>
        <v>1</v>
      </c>
      <c r="AP125" s="1061">
        <f t="shared" si="157"/>
        <v>0</v>
      </c>
      <c r="AQ125" s="654" t="s">
        <v>587</v>
      </c>
      <c r="AR125" s="654"/>
      <c r="AS125" s="654"/>
      <c r="AT125" s="654"/>
      <c r="AU125" s="807"/>
      <c r="AV125" s="654"/>
      <c r="AW125" s="807"/>
      <c r="AX125" s="1224">
        <f t="shared" si="158"/>
        <v>0.6</v>
      </c>
      <c r="AY125" s="1225">
        <f t="shared" si="159"/>
        <v>6</v>
      </c>
      <c r="AZ125" s="1061">
        <f t="shared" si="116"/>
        <v>0</v>
      </c>
      <c r="BA125" s="1061">
        <f t="shared" si="117"/>
        <v>3</v>
      </c>
      <c r="BB125" s="653"/>
      <c r="BC125" s="685"/>
      <c r="BD125" s="653" t="s">
        <v>562</v>
      </c>
      <c r="BE125" s="654" t="s">
        <v>562</v>
      </c>
      <c r="BF125" s="669" t="s">
        <v>562</v>
      </c>
      <c r="BI125" s="1295" t="s">
        <v>1189</v>
      </c>
      <c r="BJ125" s="504" t="s">
        <v>1193</v>
      </c>
      <c r="BK125" s="592"/>
      <c r="BL125" s="994"/>
      <c r="BM125" s="1296"/>
    </row>
    <row r="126" spans="1:65" s="995" customFormat="1" ht="51">
      <c r="A126" s="1496"/>
      <c r="B126" s="1497"/>
      <c r="C126" s="421" t="s">
        <v>1083</v>
      </c>
      <c r="D126" s="1207">
        <f t="shared" si="142"/>
        <v>10</v>
      </c>
      <c r="E126" s="1207">
        <f t="shared" si="143"/>
        <v>6</v>
      </c>
      <c r="F126" s="1207">
        <f t="shared" si="144"/>
        <v>4</v>
      </c>
      <c r="G126" s="1290">
        <f t="shared" si="145"/>
        <v>6</v>
      </c>
      <c r="H126" s="1290">
        <f t="shared" si="145"/>
        <v>2</v>
      </c>
      <c r="I126" s="1224">
        <f t="shared" si="146"/>
        <v>0.25</v>
      </c>
      <c r="J126" s="1225">
        <f t="shared" si="147"/>
        <v>2</v>
      </c>
      <c r="K126" s="1061">
        <f t="shared" si="148"/>
        <v>2</v>
      </c>
      <c r="L126" s="1291">
        <f t="shared" si="149"/>
        <v>0</v>
      </c>
      <c r="M126" s="685" t="s">
        <v>587</v>
      </c>
      <c r="N126" s="685"/>
      <c r="O126" s="685" t="s">
        <v>587</v>
      </c>
      <c r="P126" s="669"/>
      <c r="Q126" s="1224">
        <f t="shared" si="150"/>
        <v>0.25</v>
      </c>
      <c r="R126" s="1225">
        <f t="shared" si="151"/>
        <v>4</v>
      </c>
      <c r="S126" s="990">
        <f t="shared" si="130"/>
        <v>2</v>
      </c>
      <c r="T126" s="1061">
        <f t="shared" si="131"/>
        <v>1</v>
      </c>
      <c r="U126" s="685" t="s">
        <v>587</v>
      </c>
      <c r="V126" s="653" t="s">
        <v>587</v>
      </c>
      <c r="W126" s="685"/>
      <c r="X126" s="685"/>
      <c r="Y126" s="653" t="s">
        <v>562</v>
      </c>
      <c r="Z126" s="685"/>
      <c r="AA126" s="1292"/>
      <c r="AB126" s="685"/>
      <c r="AC126" s="1244"/>
      <c r="AD126" s="1244"/>
      <c r="AE126" s="1061">
        <f t="shared" si="152"/>
        <v>0</v>
      </c>
      <c r="AF126" s="1061">
        <f t="shared" si="153"/>
        <v>0</v>
      </c>
      <c r="AG126" s="685"/>
      <c r="AH126" s="654"/>
      <c r="AI126" s="654"/>
      <c r="AJ126" s="807"/>
      <c r="AK126" s="1293"/>
      <c r="AL126" s="1294"/>
      <c r="AM126" s="1224">
        <f t="shared" si="154"/>
        <v>7.1428571428571425E-2</v>
      </c>
      <c r="AN126" s="1225">
        <f t="shared" si="155"/>
        <v>1</v>
      </c>
      <c r="AO126" s="1061">
        <f t="shared" si="156"/>
        <v>1</v>
      </c>
      <c r="AP126" s="1061">
        <f t="shared" si="157"/>
        <v>0</v>
      </c>
      <c r="AQ126" s="654" t="s">
        <v>587</v>
      </c>
      <c r="AR126" s="654"/>
      <c r="AS126" s="654"/>
      <c r="AT126" s="654"/>
      <c r="AU126" s="807"/>
      <c r="AV126" s="654"/>
      <c r="AW126" s="807"/>
      <c r="AX126" s="1224">
        <f t="shared" si="158"/>
        <v>0.3</v>
      </c>
      <c r="AY126" s="1225">
        <f t="shared" si="159"/>
        <v>3</v>
      </c>
      <c r="AZ126" s="1061">
        <f t="shared" si="116"/>
        <v>1</v>
      </c>
      <c r="BA126" s="1061">
        <f t="shared" si="117"/>
        <v>1</v>
      </c>
      <c r="BB126" s="653"/>
      <c r="BC126" s="685"/>
      <c r="BD126" s="653"/>
      <c r="BE126" s="654" t="s">
        <v>587</v>
      </c>
      <c r="BF126" s="669" t="s">
        <v>562</v>
      </c>
      <c r="BI126" s="1295"/>
      <c r="BJ126" s="504" t="s">
        <v>1192</v>
      </c>
      <c r="BK126" s="592"/>
      <c r="BL126" s="994"/>
      <c r="BM126" s="1296"/>
    </row>
    <row r="127" spans="1:65" s="995" customFormat="1" ht="78.75">
      <c r="A127" s="1496"/>
      <c r="B127" s="1495" t="s">
        <v>1439</v>
      </c>
      <c r="C127" s="421" t="s">
        <v>1084</v>
      </c>
      <c r="D127" s="1207">
        <f t="shared" si="142"/>
        <v>18</v>
      </c>
      <c r="E127" s="1207">
        <f t="shared" si="143"/>
        <v>4</v>
      </c>
      <c r="F127" s="1207">
        <f t="shared" si="144"/>
        <v>14</v>
      </c>
      <c r="G127" s="1290">
        <f t="shared" si="145"/>
        <v>4</v>
      </c>
      <c r="H127" s="1290">
        <f t="shared" si="145"/>
        <v>7</v>
      </c>
      <c r="I127" s="1224">
        <f t="shared" si="146"/>
        <v>0.375</v>
      </c>
      <c r="J127" s="1225">
        <f t="shared" si="147"/>
        <v>3</v>
      </c>
      <c r="K127" s="1061">
        <f t="shared" si="148"/>
        <v>1</v>
      </c>
      <c r="L127" s="1291">
        <f t="shared" si="149"/>
        <v>1</v>
      </c>
      <c r="M127" s="685" t="s">
        <v>562</v>
      </c>
      <c r="N127" s="685"/>
      <c r="O127" s="685" t="s">
        <v>587</v>
      </c>
      <c r="P127" s="669"/>
      <c r="Q127" s="1224">
        <f t="shared" si="150"/>
        <v>0.5625</v>
      </c>
      <c r="R127" s="1225">
        <f t="shared" si="151"/>
        <v>9</v>
      </c>
      <c r="S127" s="990">
        <f t="shared" si="130"/>
        <v>1</v>
      </c>
      <c r="T127" s="1061">
        <f t="shared" si="131"/>
        <v>4</v>
      </c>
      <c r="U127" s="685" t="s">
        <v>562</v>
      </c>
      <c r="V127" s="653"/>
      <c r="W127" s="685" t="s">
        <v>562</v>
      </c>
      <c r="X127" s="685"/>
      <c r="Y127" s="653" t="s">
        <v>562</v>
      </c>
      <c r="Z127" s="685" t="s">
        <v>562</v>
      </c>
      <c r="AA127" s="1292"/>
      <c r="AB127" s="685" t="s">
        <v>587</v>
      </c>
      <c r="AC127" s="1244"/>
      <c r="AD127" s="1244"/>
      <c r="AE127" s="1061">
        <f t="shared" si="152"/>
        <v>0</v>
      </c>
      <c r="AF127" s="1061">
        <f t="shared" si="153"/>
        <v>0</v>
      </c>
      <c r="AG127" s="685"/>
      <c r="AH127" s="654"/>
      <c r="AI127" s="654"/>
      <c r="AJ127" s="807"/>
      <c r="AK127" s="1293"/>
      <c r="AL127" s="1294"/>
      <c r="AM127" s="1224">
        <f t="shared" si="154"/>
        <v>7.1428571428571425E-2</v>
      </c>
      <c r="AN127" s="1225">
        <f t="shared" si="155"/>
        <v>1</v>
      </c>
      <c r="AO127" s="1061">
        <f t="shared" si="156"/>
        <v>1</v>
      </c>
      <c r="AP127" s="1061">
        <f t="shared" si="157"/>
        <v>0</v>
      </c>
      <c r="AQ127" s="654" t="s">
        <v>587</v>
      </c>
      <c r="AR127" s="654"/>
      <c r="AS127" s="654"/>
      <c r="AT127" s="654"/>
      <c r="AU127" s="807"/>
      <c r="AV127" s="654"/>
      <c r="AW127" s="807"/>
      <c r="AX127" s="1224">
        <f t="shared" si="158"/>
        <v>0.5</v>
      </c>
      <c r="AY127" s="1225">
        <f t="shared" si="159"/>
        <v>5</v>
      </c>
      <c r="AZ127" s="1061">
        <f t="shared" si="116"/>
        <v>1</v>
      </c>
      <c r="BA127" s="1061">
        <f t="shared" si="117"/>
        <v>2</v>
      </c>
      <c r="BB127" s="653"/>
      <c r="BC127" s="685"/>
      <c r="BD127" s="653" t="s">
        <v>587</v>
      </c>
      <c r="BE127" s="654" t="s">
        <v>562</v>
      </c>
      <c r="BF127" s="669" t="s">
        <v>562</v>
      </c>
      <c r="BI127" s="1295"/>
      <c r="BJ127" s="504" t="s">
        <v>1421</v>
      </c>
      <c r="BK127" s="592"/>
      <c r="BL127" s="994"/>
      <c r="BM127" s="1296"/>
    </row>
    <row r="128" spans="1:65" s="995" customFormat="1" ht="38.25">
      <c r="A128" s="1496"/>
      <c r="B128" s="1496"/>
      <c r="C128" s="421" t="s">
        <v>1007</v>
      </c>
      <c r="D128" s="1207">
        <f t="shared" si="142"/>
        <v>10</v>
      </c>
      <c r="E128" s="1207">
        <f t="shared" si="143"/>
        <v>4</v>
      </c>
      <c r="F128" s="1207">
        <f t="shared" si="144"/>
        <v>6</v>
      </c>
      <c r="G128" s="1290">
        <f t="shared" si="145"/>
        <v>4</v>
      </c>
      <c r="H128" s="1290">
        <f t="shared" si="145"/>
        <v>3</v>
      </c>
      <c r="I128" s="1224">
        <f t="shared" si="146"/>
        <v>0.375</v>
      </c>
      <c r="J128" s="1225">
        <f t="shared" si="147"/>
        <v>3</v>
      </c>
      <c r="K128" s="1061">
        <f t="shared" si="148"/>
        <v>1</v>
      </c>
      <c r="L128" s="1291">
        <f t="shared" si="149"/>
        <v>1</v>
      </c>
      <c r="M128" s="685" t="s">
        <v>587</v>
      </c>
      <c r="N128" s="685"/>
      <c r="O128" s="685" t="s">
        <v>562</v>
      </c>
      <c r="P128" s="669"/>
      <c r="Q128" s="1224">
        <f t="shared" si="150"/>
        <v>0.3125</v>
      </c>
      <c r="R128" s="1225">
        <f t="shared" si="151"/>
        <v>5</v>
      </c>
      <c r="S128" s="990">
        <f t="shared" si="130"/>
        <v>1</v>
      </c>
      <c r="T128" s="1061">
        <f t="shared" si="131"/>
        <v>2</v>
      </c>
      <c r="U128" s="685" t="s">
        <v>587</v>
      </c>
      <c r="V128" s="653"/>
      <c r="W128" s="685" t="s">
        <v>562</v>
      </c>
      <c r="X128" s="685"/>
      <c r="Y128" s="653" t="s">
        <v>562</v>
      </c>
      <c r="Z128" s="685"/>
      <c r="AA128" s="1292"/>
      <c r="AB128" s="685"/>
      <c r="AC128" s="1244"/>
      <c r="AD128" s="1244"/>
      <c r="AE128" s="1061">
        <f t="shared" si="152"/>
        <v>0</v>
      </c>
      <c r="AF128" s="1061">
        <f t="shared" si="153"/>
        <v>0</v>
      </c>
      <c r="AG128" s="685"/>
      <c r="AH128" s="654"/>
      <c r="AI128" s="654"/>
      <c r="AJ128" s="807"/>
      <c r="AK128" s="1293"/>
      <c r="AL128" s="1294"/>
      <c r="AM128" s="1224">
        <f t="shared" si="154"/>
        <v>0</v>
      </c>
      <c r="AN128" s="1225">
        <f t="shared" si="155"/>
        <v>0</v>
      </c>
      <c r="AO128" s="1061">
        <f t="shared" si="156"/>
        <v>0</v>
      </c>
      <c r="AP128" s="1061">
        <f t="shared" si="157"/>
        <v>0</v>
      </c>
      <c r="AQ128" s="654"/>
      <c r="AR128" s="654"/>
      <c r="AS128" s="654"/>
      <c r="AT128" s="654"/>
      <c r="AU128" s="807"/>
      <c r="AV128" s="654"/>
      <c r="AW128" s="807"/>
      <c r="AX128" s="1224">
        <f t="shared" si="158"/>
        <v>0.2</v>
      </c>
      <c r="AY128" s="1225">
        <f t="shared" si="159"/>
        <v>2</v>
      </c>
      <c r="AZ128" s="1061">
        <f t="shared" si="116"/>
        <v>2</v>
      </c>
      <c r="BA128" s="1061">
        <f t="shared" si="117"/>
        <v>0</v>
      </c>
      <c r="BB128" s="653"/>
      <c r="BC128" s="685"/>
      <c r="BD128" s="653"/>
      <c r="BE128" s="654" t="s">
        <v>587</v>
      </c>
      <c r="BF128" s="669" t="s">
        <v>587</v>
      </c>
      <c r="BI128" s="1295"/>
      <c r="BJ128" s="504" t="s">
        <v>1422</v>
      </c>
      <c r="BK128" s="592"/>
      <c r="BL128" s="994"/>
      <c r="BM128" s="1296"/>
    </row>
    <row r="129" spans="1:65" s="995" customFormat="1" ht="45">
      <c r="A129" s="1496"/>
      <c r="B129" s="1496"/>
      <c r="C129" s="421" t="s">
        <v>1056</v>
      </c>
      <c r="D129" s="1207">
        <f t="shared" si="142"/>
        <v>12</v>
      </c>
      <c r="E129" s="1207">
        <f t="shared" si="143"/>
        <v>0</v>
      </c>
      <c r="F129" s="1207">
        <f t="shared" si="144"/>
        <v>12</v>
      </c>
      <c r="G129" s="1290">
        <f t="shared" si="145"/>
        <v>0</v>
      </c>
      <c r="H129" s="1290">
        <f t="shared" si="145"/>
        <v>6</v>
      </c>
      <c r="I129" s="1224">
        <f t="shared" si="146"/>
        <v>0.5</v>
      </c>
      <c r="J129" s="1225">
        <f t="shared" si="147"/>
        <v>4</v>
      </c>
      <c r="K129" s="1061">
        <f t="shared" si="148"/>
        <v>0</v>
      </c>
      <c r="L129" s="1291">
        <f t="shared" si="149"/>
        <v>2</v>
      </c>
      <c r="M129" s="685" t="s">
        <v>562</v>
      </c>
      <c r="N129" s="685"/>
      <c r="O129" s="685" t="s">
        <v>562</v>
      </c>
      <c r="P129" s="669"/>
      <c r="Q129" s="1224">
        <f t="shared" si="150"/>
        <v>0.25</v>
      </c>
      <c r="R129" s="1225">
        <f t="shared" si="151"/>
        <v>4</v>
      </c>
      <c r="S129" s="990">
        <f t="shared" si="130"/>
        <v>0</v>
      </c>
      <c r="T129" s="1061">
        <f t="shared" si="131"/>
        <v>2</v>
      </c>
      <c r="U129" s="685"/>
      <c r="V129" s="653"/>
      <c r="W129" s="685" t="s">
        <v>562</v>
      </c>
      <c r="X129" s="685"/>
      <c r="Y129" s="653" t="s">
        <v>562</v>
      </c>
      <c r="Z129" s="685"/>
      <c r="AA129" s="1292"/>
      <c r="AB129" s="685"/>
      <c r="AC129" s="1244"/>
      <c r="AD129" s="1244"/>
      <c r="AE129" s="1061">
        <f t="shared" si="152"/>
        <v>0</v>
      </c>
      <c r="AF129" s="1061">
        <f t="shared" si="153"/>
        <v>0</v>
      </c>
      <c r="AG129" s="685"/>
      <c r="AH129" s="654"/>
      <c r="AI129" s="654"/>
      <c r="AJ129" s="807"/>
      <c r="AK129" s="1293"/>
      <c r="AL129" s="1294"/>
      <c r="AM129" s="1224">
        <f t="shared" si="154"/>
        <v>0</v>
      </c>
      <c r="AN129" s="1225">
        <f t="shared" si="155"/>
        <v>0</v>
      </c>
      <c r="AO129" s="1061">
        <f t="shared" si="156"/>
        <v>0</v>
      </c>
      <c r="AP129" s="1061">
        <f t="shared" si="157"/>
        <v>0</v>
      </c>
      <c r="AQ129" s="654"/>
      <c r="AR129" s="654"/>
      <c r="AS129" s="654"/>
      <c r="AT129" s="654"/>
      <c r="AU129" s="807"/>
      <c r="AV129" s="654"/>
      <c r="AW129" s="807"/>
      <c r="AX129" s="1224">
        <f t="shared" si="158"/>
        <v>0.4</v>
      </c>
      <c r="AY129" s="1225">
        <f t="shared" si="159"/>
        <v>4</v>
      </c>
      <c r="AZ129" s="1061">
        <f t="shared" si="116"/>
        <v>0</v>
      </c>
      <c r="BA129" s="1061">
        <f t="shared" si="117"/>
        <v>2</v>
      </c>
      <c r="BB129" s="653"/>
      <c r="BC129" s="685"/>
      <c r="BD129" s="653"/>
      <c r="BE129" s="654" t="s">
        <v>562</v>
      </c>
      <c r="BF129" s="669" t="s">
        <v>562</v>
      </c>
      <c r="BI129" s="1295" t="s">
        <v>1189</v>
      </c>
      <c r="BJ129" s="504" t="s">
        <v>1195</v>
      </c>
      <c r="BK129" s="592"/>
      <c r="BL129" s="994"/>
      <c r="BM129" s="1296"/>
    </row>
    <row r="130" spans="1:65" s="995" customFormat="1" ht="51">
      <c r="A130" s="1496"/>
      <c r="B130" s="1496"/>
      <c r="C130" s="421" t="s">
        <v>1023</v>
      </c>
      <c r="D130" s="1207">
        <f t="shared" si="142"/>
        <v>15</v>
      </c>
      <c r="E130" s="1207">
        <f t="shared" si="143"/>
        <v>5</v>
      </c>
      <c r="F130" s="1207">
        <f t="shared" si="144"/>
        <v>10</v>
      </c>
      <c r="G130" s="1290">
        <f t="shared" si="145"/>
        <v>5</v>
      </c>
      <c r="H130" s="1290">
        <f t="shared" si="145"/>
        <v>5</v>
      </c>
      <c r="I130" s="1224">
        <f t="shared" si="146"/>
        <v>0.25</v>
      </c>
      <c r="J130" s="1225">
        <f t="shared" si="147"/>
        <v>2</v>
      </c>
      <c r="K130" s="1061">
        <f t="shared" si="148"/>
        <v>2</v>
      </c>
      <c r="L130" s="1291">
        <f t="shared" si="149"/>
        <v>0</v>
      </c>
      <c r="M130" s="685" t="s">
        <v>587</v>
      </c>
      <c r="N130" s="685"/>
      <c r="O130" s="685" t="s">
        <v>587</v>
      </c>
      <c r="P130" s="669"/>
      <c r="Q130" s="1224">
        <f t="shared" si="150"/>
        <v>0.5625</v>
      </c>
      <c r="R130" s="1225">
        <f t="shared" si="151"/>
        <v>9</v>
      </c>
      <c r="S130" s="990">
        <f t="shared" si="130"/>
        <v>3</v>
      </c>
      <c r="T130" s="1061">
        <f t="shared" si="131"/>
        <v>3</v>
      </c>
      <c r="U130" s="685" t="s">
        <v>587</v>
      </c>
      <c r="V130" s="653" t="s">
        <v>587</v>
      </c>
      <c r="W130" s="685" t="s">
        <v>562</v>
      </c>
      <c r="X130" s="685"/>
      <c r="Y130" s="653" t="s">
        <v>562</v>
      </c>
      <c r="Z130" s="685" t="s">
        <v>562</v>
      </c>
      <c r="AA130" s="1292"/>
      <c r="AB130" s="685" t="s">
        <v>587</v>
      </c>
      <c r="AC130" s="1244"/>
      <c r="AD130" s="1244"/>
      <c r="AE130" s="1061">
        <f t="shared" si="152"/>
        <v>0</v>
      </c>
      <c r="AF130" s="1061">
        <f t="shared" si="153"/>
        <v>0</v>
      </c>
      <c r="AG130" s="685"/>
      <c r="AH130" s="654"/>
      <c r="AI130" s="654"/>
      <c r="AJ130" s="807"/>
      <c r="AK130" s="1293"/>
      <c r="AL130" s="1294"/>
      <c r="AM130" s="1224">
        <f t="shared" si="154"/>
        <v>0</v>
      </c>
      <c r="AN130" s="1225">
        <f t="shared" si="155"/>
        <v>0</v>
      </c>
      <c r="AO130" s="1061">
        <f t="shared" si="156"/>
        <v>0</v>
      </c>
      <c r="AP130" s="1061">
        <f t="shared" si="157"/>
        <v>0</v>
      </c>
      <c r="AQ130" s="654"/>
      <c r="AR130" s="654"/>
      <c r="AS130" s="654"/>
      <c r="AT130" s="654"/>
      <c r="AU130" s="807"/>
      <c r="AV130" s="654"/>
      <c r="AW130" s="807"/>
      <c r="AX130" s="1224">
        <f t="shared" si="158"/>
        <v>0.4</v>
      </c>
      <c r="AY130" s="1225">
        <f t="shared" si="159"/>
        <v>4</v>
      </c>
      <c r="AZ130" s="1061">
        <f t="shared" si="116"/>
        <v>0</v>
      </c>
      <c r="BA130" s="1061">
        <f t="shared" si="117"/>
        <v>2</v>
      </c>
      <c r="BB130" s="653"/>
      <c r="BC130" s="685"/>
      <c r="BD130" s="653"/>
      <c r="BE130" s="654" t="s">
        <v>562</v>
      </c>
      <c r="BF130" s="669" t="s">
        <v>562</v>
      </c>
      <c r="BI130" s="1295" t="s">
        <v>1189</v>
      </c>
      <c r="BJ130" s="504" t="s">
        <v>1190</v>
      </c>
      <c r="BK130" s="592"/>
      <c r="BL130" s="994"/>
      <c r="BM130" s="1296"/>
    </row>
    <row r="131" spans="1:65" s="995" customFormat="1" ht="33.75">
      <c r="A131" s="1497"/>
      <c r="B131" s="1497"/>
      <c r="C131" s="421" t="s">
        <v>993</v>
      </c>
      <c r="D131" s="1207">
        <f t="shared" si="142"/>
        <v>19</v>
      </c>
      <c r="E131" s="1207">
        <f t="shared" si="143"/>
        <v>3</v>
      </c>
      <c r="F131" s="1207">
        <f t="shared" si="144"/>
        <v>16</v>
      </c>
      <c r="G131" s="1290">
        <f t="shared" si="145"/>
        <v>3</v>
      </c>
      <c r="H131" s="1290">
        <f t="shared" si="145"/>
        <v>8</v>
      </c>
      <c r="I131" s="1224">
        <f t="shared" si="146"/>
        <v>0.375</v>
      </c>
      <c r="J131" s="1225">
        <f t="shared" si="147"/>
        <v>3</v>
      </c>
      <c r="K131" s="1061">
        <f t="shared" si="148"/>
        <v>1</v>
      </c>
      <c r="L131" s="1291">
        <f t="shared" si="149"/>
        <v>1</v>
      </c>
      <c r="M131" s="685" t="s">
        <v>562</v>
      </c>
      <c r="N131" s="685"/>
      <c r="O131" s="685" t="s">
        <v>587</v>
      </c>
      <c r="P131" s="669"/>
      <c r="Q131" s="1224">
        <f t="shared" si="150"/>
        <v>0.625</v>
      </c>
      <c r="R131" s="1225">
        <f t="shared" si="151"/>
        <v>10</v>
      </c>
      <c r="S131" s="990">
        <f t="shared" si="130"/>
        <v>2</v>
      </c>
      <c r="T131" s="1061">
        <f t="shared" si="131"/>
        <v>4</v>
      </c>
      <c r="U131" s="685" t="s">
        <v>587</v>
      </c>
      <c r="V131" s="653" t="s">
        <v>562</v>
      </c>
      <c r="W131" s="685" t="s">
        <v>562</v>
      </c>
      <c r="X131" s="685"/>
      <c r="Y131" s="653" t="s">
        <v>562</v>
      </c>
      <c r="Z131" s="685" t="s">
        <v>562</v>
      </c>
      <c r="AA131" s="1292"/>
      <c r="AB131" s="685" t="s">
        <v>587</v>
      </c>
      <c r="AC131" s="1244"/>
      <c r="AD131" s="1244"/>
      <c r="AE131" s="1061">
        <f t="shared" si="152"/>
        <v>0</v>
      </c>
      <c r="AF131" s="1061">
        <f t="shared" si="153"/>
        <v>0</v>
      </c>
      <c r="AG131" s="685"/>
      <c r="AH131" s="654"/>
      <c r="AI131" s="654"/>
      <c r="AJ131" s="807"/>
      <c r="AK131" s="1293"/>
      <c r="AL131" s="1294"/>
      <c r="AM131" s="1224">
        <f t="shared" si="154"/>
        <v>0</v>
      </c>
      <c r="AN131" s="1225">
        <f t="shared" si="155"/>
        <v>0</v>
      </c>
      <c r="AO131" s="1061">
        <f t="shared" si="156"/>
        <v>0</v>
      </c>
      <c r="AP131" s="1061">
        <f t="shared" si="157"/>
        <v>0</v>
      </c>
      <c r="AQ131" s="654"/>
      <c r="AR131" s="654"/>
      <c r="AS131" s="654"/>
      <c r="AT131" s="654"/>
      <c r="AU131" s="807"/>
      <c r="AV131" s="654"/>
      <c r="AW131" s="807"/>
      <c r="AX131" s="1224">
        <f t="shared" si="158"/>
        <v>0.6</v>
      </c>
      <c r="AY131" s="1225">
        <f t="shared" si="159"/>
        <v>6</v>
      </c>
      <c r="AZ131" s="1061">
        <f t="shared" si="116"/>
        <v>0</v>
      </c>
      <c r="BA131" s="1061">
        <f t="shared" si="117"/>
        <v>3</v>
      </c>
      <c r="BB131" s="653"/>
      <c r="BC131" s="685"/>
      <c r="BD131" s="653" t="s">
        <v>562</v>
      </c>
      <c r="BE131" s="654" t="s">
        <v>562</v>
      </c>
      <c r="BF131" s="669" t="s">
        <v>562</v>
      </c>
      <c r="BI131" s="1295" t="s">
        <v>1189</v>
      </c>
      <c r="BJ131" s="504" t="s">
        <v>1423</v>
      </c>
      <c r="BK131" s="592"/>
      <c r="BL131" s="994"/>
      <c r="BM131" s="1296"/>
    </row>
    <row r="132" spans="1:65" s="995" customFormat="1" ht="12.75">
      <c r="A132" s="1061" t="s">
        <v>1589</v>
      </c>
      <c r="B132" s="996"/>
      <c r="C132" s="421"/>
      <c r="D132" s="571"/>
      <c r="E132" s="571"/>
      <c r="F132" s="571"/>
      <c r="G132" s="1290"/>
      <c r="H132" s="1290"/>
      <c r="I132" s="1251"/>
      <c r="J132" s="1251"/>
      <c r="K132" s="1298"/>
      <c r="L132" s="1298"/>
      <c r="M132" s="681">
        <f>COUNTIF(M114:M131, "M")</f>
        <v>10</v>
      </c>
      <c r="N132" s="681">
        <f t="shared" ref="N132:BF132" si="160">COUNTIF(N114:N131, "M")</f>
        <v>0</v>
      </c>
      <c r="O132" s="681">
        <f t="shared" si="160"/>
        <v>6</v>
      </c>
      <c r="P132" s="663">
        <f t="shared" si="160"/>
        <v>0</v>
      </c>
      <c r="Q132" s="1252"/>
      <c r="R132" s="286"/>
      <c r="S132" s="649"/>
      <c r="T132" s="681"/>
      <c r="U132" s="681">
        <f t="shared" si="160"/>
        <v>8</v>
      </c>
      <c r="V132" s="681">
        <f t="shared" si="160"/>
        <v>3</v>
      </c>
      <c r="W132" s="681">
        <f t="shared" si="160"/>
        <v>0</v>
      </c>
      <c r="X132" s="681">
        <f t="shared" si="160"/>
        <v>0</v>
      </c>
      <c r="Y132" s="681">
        <f t="shared" si="160"/>
        <v>0</v>
      </c>
      <c r="Z132" s="681">
        <f t="shared" si="160"/>
        <v>0</v>
      </c>
      <c r="AA132" s="681">
        <f t="shared" si="160"/>
        <v>0</v>
      </c>
      <c r="AB132" s="681">
        <f t="shared" si="160"/>
        <v>6</v>
      </c>
      <c r="AC132" s="1252"/>
      <c r="AD132" s="1252"/>
      <c r="AE132" s="681"/>
      <c r="AF132" s="681"/>
      <c r="AG132" s="681">
        <f t="shared" si="160"/>
        <v>0</v>
      </c>
      <c r="AH132" s="681">
        <f t="shared" si="160"/>
        <v>0</v>
      </c>
      <c r="AI132" s="681">
        <f t="shared" si="160"/>
        <v>0</v>
      </c>
      <c r="AJ132" s="681">
        <f t="shared" si="160"/>
        <v>0</v>
      </c>
      <c r="AK132" s="681">
        <f t="shared" si="160"/>
        <v>0</v>
      </c>
      <c r="AL132" s="681">
        <f t="shared" si="160"/>
        <v>0</v>
      </c>
      <c r="AM132" s="1252"/>
      <c r="AN132" s="1252"/>
      <c r="AO132" s="681"/>
      <c r="AP132" s="681"/>
      <c r="AQ132" s="681">
        <f t="shared" si="160"/>
        <v>9</v>
      </c>
      <c r="AR132" s="681">
        <f t="shared" si="160"/>
        <v>1</v>
      </c>
      <c r="AS132" s="681">
        <f t="shared" si="160"/>
        <v>0</v>
      </c>
      <c r="AT132" s="681">
        <f t="shared" si="160"/>
        <v>0</v>
      </c>
      <c r="AU132" s="681">
        <f t="shared" si="160"/>
        <v>0</v>
      </c>
      <c r="AV132" s="681">
        <f t="shared" si="160"/>
        <v>0</v>
      </c>
      <c r="AW132" s="681">
        <f t="shared" si="160"/>
        <v>0</v>
      </c>
      <c r="AX132" s="1252"/>
      <c r="AY132" s="1252"/>
      <c r="AZ132" s="681"/>
      <c r="BA132" s="681"/>
      <c r="BB132" s="681">
        <f t="shared" si="160"/>
        <v>0</v>
      </c>
      <c r="BC132" s="681">
        <f t="shared" si="160"/>
        <v>3</v>
      </c>
      <c r="BD132" s="681">
        <f t="shared" si="160"/>
        <v>4</v>
      </c>
      <c r="BE132" s="681">
        <f t="shared" si="160"/>
        <v>7</v>
      </c>
      <c r="BF132" s="681">
        <f t="shared" si="160"/>
        <v>4</v>
      </c>
      <c r="BI132" s="1299"/>
      <c r="BJ132" s="992"/>
      <c r="BK132" s="994"/>
      <c r="BL132" s="994"/>
      <c r="BM132" s="1296"/>
    </row>
    <row r="133" spans="1:65" s="995" customFormat="1" ht="12.75">
      <c r="A133" s="1061" t="s">
        <v>1590</v>
      </c>
      <c r="B133" s="996"/>
      <c r="C133" s="421"/>
      <c r="D133" s="571"/>
      <c r="E133" s="571"/>
      <c r="F133" s="571"/>
      <c r="G133" s="1290"/>
      <c r="H133" s="1290"/>
      <c r="I133" s="1251"/>
      <c r="J133" s="1251"/>
      <c r="K133" s="1298"/>
      <c r="L133" s="1298"/>
      <c r="M133" s="681">
        <f>COUNTIF(M114:M131, "H")</f>
        <v>7</v>
      </c>
      <c r="N133" s="681">
        <f t="shared" ref="N133:BF133" si="161">COUNTIF(N114:N131, "H")</f>
        <v>0</v>
      </c>
      <c r="O133" s="681">
        <f t="shared" si="161"/>
        <v>12</v>
      </c>
      <c r="P133" s="663">
        <f t="shared" si="161"/>
        <v>0</v>
      </c>
      <c r="Q133" s="1252"/>
      <c r="R133" s="286"/>
      <c r="S133" s="649"/>
      <c r="T133" s="681"/>
      <c r="U133" s="681">
        <f t="shared" si="161"/>
        <v>6</v>
      </c>
      <c r="V133" s="681">
        <f t="shared" si="161"/>
        <v>10</v>
      </c>
      <c r="W133" s="681">
        <f t="shared" si="161"/>
        <v>14</v>
      </c>
      <c r="X133" s="681">
        <f t="shared" si="161"/>
        <v>0</v>
      </c>
      <c r="Y133" s="681">
        <f t="shared" si="161"/>
        <v>18</v>
      </c>
      <c r="Z133" s="681">
        <f t="shared" si="161"/>
        <v>4</v>
      </c>
      <c r="AA133" s="681">
        <f t="shared" si="161"/>
        <v>5</v>
      </c>
      <c r="AB133" s="681">
        <f t="shared" si="161"/>
        <v>2</v>
      </c>
      <c r="AC133" s="1252"/>
      <c r="AD133" s="1252"/>
      <c r="AE133" s="681"/>
      <c r="AF133" s="681"/>
      <c r="AG133" s="681">
        <f t="shared" si="161"/>
        <v>0</v>
      </c>
      <c r="AH133" s="681">
        <f t="shared" si="161"/>
        <v>0</v>
      </c>
      <c r="AI133" s="681">
        <f t="shared" si="161"/>
        <v>0</v>
      </c>
      <c r="AJ133" s="681">
        <f t="shared" si="161"/>
        <v>0</v>
      </c>
      <c r="AK133" s="681">
        <f t="shared" si="161"/>
        <v>0</v>
      </c>
      <c r="AL133" s="681">
        <f t="shared" si="161"/>
        <v>0</v>
      </c>
      <c r="AM133" s="1252"/>
      <c r="AN133" s="1252"/>
      <c r="AO133" s="681"/>
      <c r="AP133" s="681"/>
      <c r="AQ133" s="681">
        <f t="shared" si="161"/>
        <v>3</v>
      </c>
      <c r="AR133" s="681">
        <f t="shared" si="161"/>
        <v>0</v>
      </c>
      <c r="AS133" s="681">
        <f t="shared" si="161"/>
        <v>0</v>
      </c>
      <c r="AT133" s="681">
        <f t="shared" si="161"/>
        <v>0</v>
      </c>
      <c r="AU133" s="681">
        <f t="shared" si="161"/>
        <v>0</v>
      </c>
      <c r="AV133" s="681">
        <f t="shared" si="161"/>
        <v>0</v>
      </c>
      <c r="AW133" s="681">
        <f t="shared" si="161"/>
        <v>0</v>
      </c>
      <c r="AX133" s="1252"/>
      <c r="AY133" s="1252"/>
      <c r="AZ133" s="681"/>
      <c r="BA133" s="681"/>
      <c r="BB133" s="681">
        <f t="shared" si="161"/>
        <v>0</v>
      </c>
      <c r="BC133" s="681">
        <f t="shared" si="161"/>
        <v>2</v>
      </c>
      <c r="BD133" s="681">
        <f t="shared" si="161"/>
        <v>5</v>
      </c>
      <c r="BE133" s="681">
        <f t="shared" si="161"/>
        <v>10</v>
      </c>
      <c r="BF133" s="681">
        <f t="shared" si="161"/>
        <v>13</v>
      </c>
      <c r="BI133" s="1299"/>
      <c r="BJ133" s="992"/>
      <c r="BK133" s="994"/>
      <c r="BL133" s="994"/>
      <c r="BM133" s="1296"/>
    </row>
    <row r="134" spans="1:65" s="1010" customFormat="1" ht="78.75">
      <c r="A134" s="1479" t="s">
        <v>573</v>
      </c>
      <c r="B134" s="1480" t="s">
        <v>1440</v>
      </c>
      <c r="C134" s="997" t="s">
        <v>1188</v>
      </c>
      <c r="D134" s="1207">
        <f t="shared" ref="D134:D144" si="162">E134+F134</f>
        <v>19</v>
      </c>
      <c r="E134" s="1207">
        <f t="shared" ref="E134:E144" si="163">G134*1</f>
        <v>5</v>
      </c>
      <c r="F134" s="1207">
        <f t="shared" ref="F134:F144" si="164">H134*2</f>
        <v>14</v>
      </c>
      <c r="G134" s="1300">
        <f t="shared" ref="G134:H144" si="165">SUM(K134+S134+AE134+AO134+AZ134)</f>
        <v>5</v>
      </c>
      <c r="H134" s="1300">
        <f t="shared" si="165"/>
        <v>7</v>
      </c>
      <c r="I134" s="1224">
        <f t="shared" ref="I134:I144" si="166">J134/8</f>
        <v>0.375</v>
      </c>
      <c r="J134" s="1225">
        <f t="shared" ref="J134:J144" si="167">K134+(L134*2)</f>
        <v>3</v>
      </c>
      <c r="K134" s="1000">
        <f t="shared" ref="K134:K144" si="168">COUNTIF(M134:P134, "M")</f>
        <v>1</v>
      </c>
      <c r="L134" s="1301">
        <f t="shared" ref="L134:L144" si="169">COUNTIF(M134:P134, "H")</f>
        <v>1</v>
      </c>
      <c r="M134" s="686" t="s">
        <v>587</v>
      </c>
      <c r="N134" s="686"/>
      <c r="O134" s="686" t="s">
        <v>562</v>
      </c>
      <c r="P134" s="671"/>
      <c r="Q134" s="1224">
        <f t="shared" ref="Q134:Q144" si="170">R134/16</f>
        <v>0.75</v>
      </c>
      <c r="R134" s="1225">
        <f t="shared" ref="R134:R144" si="171">S134+(T134*2)</f>
        <v>12</v>
      </c>
      <c r="S134" s="1006">
        <f t="shared" ref="S134:S144" si="172">COUNTIF(U134:AB134, "M")</f>
        <v>2</v>
      </c>
      <c r="T134" s="1000">
        <f t="shared" ref="T134:T144" si="173">COUNTIF(U134:AB134, "H")</f>
        <v>5</v>
      </c>
      <c r="U134" s="686" t="s">
        <v>587</v>
      </c>
      <c r="V134" s="655" t="s">
        <v>587</v>
      </c>
      <c r="W134" s="686" t="s">
        <v>562</v>
      </c>
      <c r="X134" s="686"/>
      <c r="Y134" s="655" t="s">
        <v>562</v>
      </c>
      <c r="Z134" s="686" t="s">
        <v>562</v>
      </c>
      <c r="AA134" s="1302" t="s">
        <v>562</v>
      </c>
      <c r="AB134" s="686" t="s">
        <v>562</v>
      </c>
      <c r="AC134" s="1244"/>
      <c r="AD134" s="1244"/>
      <c r="AE134" s="1000">
        <f t="shared" ref="AE134:AE144" si="174">COUNTIF(AG134:AL134, "M")</f>
        <v>0</v>
      </c>
      <c r="AF134" s="1000">
        <f t="shared" ref="AF134:AF144" si="175">COUNTIF(AG134:AL134, "H")</f>
        <v>0</v>
      </c>
      <c r="AG134" s="686"/>
      <c r="AH134" s="670"/>
      <c r="AI134" s="670"/>
      <c r="AJ134" s="808"/>
      <c r="AK134" s="1303"/>
      <c r="AL134" s="1304"/>
      <c r="AM134" s="1224">
        <f t="shared" ref="AM134:AM144" si="176">AN134/14</f>
        <v>0</v>
      </c>
      <c r="AN134" s="1225">
        <f t="shared" ref="AN134:AN144" si="177">AO134+(AP134*2)</f>
        <v>0</v>
      </c>
      <c r="AO134" s="1000">
        <f t="shared" ref="AO134:AO144" si="178">COUNTIF(AQ134:AW134, "M")</f>
        <v>0</v>
      </c>
      <c r="AP134" s="1000">
        <f t="shared" ref="AP134:AP144" si="179">COUNTIF(AQ134:AW134, "H")</f>
        <v>0</v>
      </c>
      <c r="AQ134" s="670"/>
      <c r="AR134" s="670"/>
      <c r="AS134" s="670"/>
      <c r="AT134" s="670"/>
      <c r="AU134" s="808"/>
      <c r="AV134" s="670"/>
      <c r="AW134" s="808"/>
      <c r="AX134" s="1224">
        <f t="shared" ref="AX134:AX144" si="180">AY134/10</f>
        <v>0.4</v>
      </c>
      <c r="AY134" s="1225">
        <f t="shared" ref="AY134:AY144" si="181">AZ134+(BA134*2)</f>
        <v>4</v>
      </c>
      <c r="AZ134" s="1000">
        <f t="shared" si="116"/>
        <v>2</v>
      </c>
      <c r="BA134" s="1000">
        <f t="shared" si="117"/>
        <v>1</v>
      </c>
      <c r="BB134" s="655"/>
      <c r="BC134" s="686"/>
      <c r="BD134" s="655" t="s">
        <v>587</v>
      </c>
      <c r="BE134" s="670" t="s">
        <v>587</v>
      </c>
      <c r="BF134" s="671" t="s">
        <v>562</v>
      </c>
      <c r="BI134" s="1305"/>
      <c r="BJ134" s="502" t="s">
        <v>1187</v>
      </c>
      <c r="BK134" s="593"/>
      <c r="BL134" s="1009"/>
      <c r="BM134" s="1306"/>
    </row>
    <row r="135" spans="1:65" s="1010" customFormat="1" ht="38.25">
      <c r="A135" s="1479"/>
      <c r="B135" s="1481"/>
      <c r="C135" s="997" t="s">
        <v>1060</v>
      </c>
      <c r="D135" s="1207">
        <f t="shared" si="162"/>
        <v>6</v>
      </c>
      <c r="E135" s="1207">
        <f t="shared" si="163"/>
        <v>4</v>
      </c>
      <c r="F135" s="1207">
        <f t="shared" si="164"/>
        <v>2</v>
      </c>
      <c r="G135" s="1300">
        <f t="shared" si="165"/>
        <v>4</v>
      </c>
      <c r="H135" s="1300">
        <f t="shared" si="165"/>
        <v>1</v>
      </c>
      <c r="I135" s="1224">
        <f t="shared" si="166"/>
        <v>0.375</v>
      </c>
      <c r="J135" s="1225">
        <f t="shared" si="167"/>
        <v>3</v>
      </c>
      <c r="K135" s="1000">
        <f t="shared" si="168"/>
        <v>1</v>
      </c>
      <c r="L135" s="1301">
        <f t="shared" si="169"/>
        <v>1</v>
      </c>
      <c r="M135" s="686" t="s">
        <v>562</v>
      </c>
      <c r="N135" s="686"/>
      <c r="O135" s="686" t="s">
        <v>587</v>
      </c>
      <c r="P135" s="671"/>
      <c r="Q135" s="1224">
        <f t="shared" si="170"/>
        <v>6.25E-2</v>
      </c>
      <c r="R135" s="1225">
        <f t="shared" si="171"/>
        <v>1</v>
      </c>
      <c r="S135" s="1006">
        <f t="shared" si="172"/>
        <v>1</v>
      </c>
      <c r="T135" s="1000">
        <f t="shared" si="173"/>
        <v>0</v>
      </c>
      <c r="U135" s="686" t="s">
        <v>587</v>
      </c>
      <c r="V135" s="655"/>
      <c r="W135" s="686"/>
      <c r="X135" s="686"/>
      <c r="Y135" s="655"/>
      <c r="Z135" s="686"/>
      <c r="AA135" s="1302"/>
      <c r="AB135" s="686"/>
      <c r="AC135" s="1244"/>
      <c r="AD135" s="1244"/>
      <c r="AE135" s="1000">
        <f t="shared" si="174"/>
        <v>0</v>
      </c>
      <c r="AF135" s="1000">
        <f t="shared" si="175"/>
        <v>0</v>
      </c>
      <c r="AG135" s="686"/>
      <c r="AH135" s="670"/>
      <c r="AI135" s="670"/>
      <c r="AJ135" s="808"/>
      <c r="AK135" s="1303"/>
      <c r="AL135" s="1304"/>
      <c r="AM135" s="1224">
        <f t="shared" si="176"/>
        <v>0</v>
      </c>
      <c r="AN135" s="1225">
        <f t="shared" si="177"/>
        <v>0</v>
      </c>
      <c r="AO135" s="1000">
        <f t="shared" si="178"/>
        <v>0</v>
      </c>
      <c r="AP135" s="1000">
        <f t="shared" si="179"/>
        <v>0</v>
      </c>
      <c r="AQ135" s="670"/>
      <c r="AR135" s="670"/>
      <c r="AS135" s="670"/>
      <c r="AT135" s="670"/>
      <c r="AU135" s="808"/>
      <c r="AV135" s="670"/>
      <c r="AW135" s="808"/>
      <c r="AX135" s="1224">
        <f t="shared" si="180"/>
        <v>0.2</v>
      </c>
      <c r="AY135" s="1225">
        <f t="shared" si="181"/>
        <v>2</v>
      </c>
      <c r="AZ135" s="1000">
        <f t="shared" si="116"/>
        <v>2</v>
      </c>
      <c r="BA135" s="1000">
        <f t="shared" si="117"/>
        <v>0</v>
      </c>
      <c r="BB135" s="655"/>
      <c r="BC135" s="686"/>
      <c r="BD135" s="655"/>
      <c r="BE135" s="670" t="s">
        <v>587</v>
      </c>
      <c r="BF135" s="671" t="s">
        <v>587</v>
      </c>
      <c r="BI135" s="1305"/>
      <c r="BJ135" s="502" t="s">
        <v>1186</v>
      </c>
      <c r="BK135" s="593"/>
      <c r="BL135" s="1009"/>
      <c r="BM135" s="1306"/>
    </row>
    <row r="136" spans="1:65" s="1010" customFormat="1" ht="25.5">
      <c r="A136" s="1479"/>
      <c r="B136" s="1481"/>
      <c r="C136" s="997" t="s">
        <v>1009</v>
      </c>
      <c r="D136" s="1207">
        <f t="shared" si="162"/>
        <v>15</v>
      </c>
      <c r="E136" s="1207">
        <f t="shared" si="163"/>
        <v>1</v>
      </c>
      <c r="F136" s="1207">
        <f t="shared" si="164"/>
        <v>14</v>
      </c>
      <c r="G136" s="1300">
        <f t="shared" si="165"/>
        <v>1</v>
      </c>
      <c r="H136" s="1300">
        <f t="shared" si="165"/>
        <v>7</v>
      </c>
      <c r="I136" s="1224">
        <f t="shared" si="166"/>
        <v>0.375</v>
      </c>
      <c r="J136" s="1225">
        <f t="shared" si="167"/>
        <v>3</v>
      </c>
      <c r="K136" s="1000">
        <f t="shared" si="168"/>
        <v>1</v>
      </c>
      <c r="L136" s="1301">
        <f t="shared" si="169"/>
        <v>1</v>
      </c>
      <c r="M136" s="686" t="s">
        <v>562</v>
      </c>
      <c r="N136" s="686"/>
      <c r="O136" s="686" t="s">
        <v>587</v>
      </c>
      <c r="P136" s="671"/>
      <c r="Q136" s="1224">
        <f t="shared" si="170"/>
        <v>0.5</v>
      </c>
      <c r="R136" s="1225">
        <f t="shared" si="171"/>
        <v>8</v>
      </c>
      <c r="S136" s="1006">
        <f t="shared" si="172"/>
        <v>0</v>
      </c>
      <c r="T136" s="1000">
        <f t="shared" si="173"/>
        <v>4</v>
      </c>
      <c r="U136" s="686" t="s">
        <v>562</v>
      </c>
      <c r="V136" s="655"/>
      <c r="W136" s="686" t="s">
        <v>562</v>
      </c>
      <c r="X136" s="686"/>
      <c r="Y136" s="655"/>
      <c r="Z136" s="686"/>
      <c r="AA136" s="1302" t="s">
        <v>562</v>
      </c>
      <c r="AB136" s="686" t="s">
        <v>562</v>
      </c>
      <c r="AC136" s="1244"/>
      <c r="AD136" s="1244"/>
      <c r="AE136" s="1000">
        <f t="shared" si="174"/>
        <v>0</v>
      </c>
      <c r="AF136" s="1000">
        <f t="shared" si="175"/>
        <v>0</v>
      </c>
      <c r="AG136" s="686"/>
      <c r="AH136" s="670"/>
      <c r="AI136" s="670"/>
      <c r="AJ136" s="808"/>
      <c r="AK136" s="1303"/>
      <c r="AL136" s="1304"/>
      <c r="AM136" s="1224">
        <f t="shared" si="176"/>
        <v>0</v>
      </c>
      <c r="AN136" s="1225">
        <f t="shared" si="177"/>
        <v>0</v>
      </c>
      <c r="AO136" s="1000">
        <f t="shared" si="178"/>
        <v>0</v>
      </c>
      <c r="AP136" s="1000">
        <f t="shared" si="179"/>
        <v>0</v>
      </c>
      <c r="AQ136" s="670"/>
      <c r="AR136" s="670"/>
      <c r="AS136" s="670"/>
      <c r="AT136" s="670"/>
      <c r="AU136" s="808"/>
      <c r="AV136" s="670"/>
      <c r="AW136" s="808"/>
      <c r="AX136" s="1224">
        <f t="shared" si="180"/>
        <v>0.4</v>
      </c>
      <c r="AY136" s="1225">
        <f t="shared" si="181"/>
        <v>4</v>
      </c>
      <c r="AZ136" s="1000">
        <f t="shared" si="116"/>
        <v>0</v>
      </c>
      <c r="BA136" s="1000">
        <f t="shared" si="117"/>
        <v>2</v>
      </c>
      <c r="BB136" s="655"/>
      <c r="BC136" s="686"/>
      <c r="BD136" s="655"/>
      <c r="BE136" s="670" t="s">
        <v>562</v>
      </c>
      <c r="BF136" s="671" t="s">
        <v>562</v>
      </c>
      <c r="BI136" s="1305"/>
      <c r="BJ136" s="559" t="s">
        <v>1441</v>
      </c>
      <c r="BK136" s="593"/>
      <c r="BL136" s="1009"/>
      <c r="BM136" s="1306"/>
    </row>
    <row r="137" spans="1:65" s="1010" customFormat="1" ht="38.25">
      <c r="A137" s="1479"/>
      <c r="B137" s="1481"/>
      <c r="C137" s="997" t="s">
        <v>536</v>
      </c>
      <c r="D137" s="1207">
        <f t="shared" si="162"/>
        <v>16</v>
      </c>
      <c r="E137" s="1207">
        <f t="shared" si="163"/>
        <v>6</v>
      </c>
      <c r="F137" s="1207">
        <f t="shared" si="164"/>
        <v>10</v>
      </c>
      <c r="G137" s="1300">
        <f t="shared" si="165"/>
        <v>6</v>
      </c>
      <c r="H137" s="1300">
        <f t="shared" si="165"/>
        <v>5</v>
      </c>
      <c r="I137" s="1224">
        <f t="shared" si="166"/>
        <v>0.25</v>
      </c>
      <c r="J137" s="1225">
        <f t="shared" si="167"/>
        <v>2</v>
      </c>
      <c r="K137" s="1000">
        <f t="shared" si="168"/>
        <v>2</v>
      </c>
      <c r="L137" s="1301">
        <f t="shared" si="169"/>
        <v>0</v>
      </c>
      <c r="M137" s="686" t="s">
        <v>587</v>
      </c>
      <c r="N137" s="686"/>
      <c r="O137" s="686" t="s">
        <v>587</v>
      </c>
      <c r="P137" s="671"/>
      <c r="Q137" s="1224">
        <f t="shared" si="170"/>
        <v>0.6875</v>
      </c>
      <c r="R137" s="1225">
        <f t="shared" si="171"/>
        <v>11</v>
      </c>
      <c r="S137" s="1006">
        <f t="shared" si="172"/>
        <v>1</v>
      </c>
      <c r="T137" s="1000">
        <f t="shared" si="173"/>
        <v>5</v>
      </c>
      <c r="U137" s="686" t="s">
        <v>562</v>
      </c>
      <c r="V137" s="655" t="s">
        <v>562</v>
      </c>
      <c r="W137" s="686" t="s">
        <v>562</v>
      </c>
      <c r="X137" s="686"/>
      <c r="Y137" s="655" t="s">
        <v>587</v>
      </c>
      <c r="Z137" s="686" t="s">
        <v>562</v>
      </c>
      <c r="AA137" s="1302"/>
      <c r="AB137" s="686" t="s">
        <v>562</v>
      </c>
      <c r="AC137" s="1244"/>
      <c r="AD137" s="1244"/>
      <c r="AE137" s="1000">
        <f t="shared" si="174"/>
        <v>0</v>
      </c>
      <c r="AF137" s="1000">
        <f t="shared" si="175"/>
        <v>0</v>
      </c>
      <c r="AG137" s="686"/>
      <c r="AH137" s="670"/>
      <c r="AI137" s="670"/>
      <c r="AJ137" s="808"/>
      <c r="AK137" s="1303"/>
      <c r="AL137" s="1304"/>
      <c r="AM137" s="1224">
        <f t="shared" si="176"/>
        <v>7.1428571428571425E-2</v>
      </c>
      <c r="AN137" s="1225">
        <f t="shared" si="177"/>
        <v>1</v>
      </c>
      <c r="AO137" s="1000">
        <f t="shared" si="178"/>
        <v>1</v>
      </c>
      <c r="AP137" s="1000">
        <f t="shared" si="179"/>
        <v>0</v>
      </c>
      <c r="AQ137" s="670" t="s">
        <v>587</v>
      </c>
      <c r="AR137" s="670"/>
      <c r="AS137" s="670"/>
      <c r="AT137" s="670"/>
      <c r="AU137" s="808"/>
      <c r="AV137" s="670"/>
      <c r="AW137" s="808"/>
      <c r="AX137" s="1224">
        <f t="shared" si="180"/>
        <v>0.2</v>
      </c>
      <c r="AY137" s="1225">
        <f t="shared" si="181"/>
        <v>2</v>
      </c>
      <c r="AZ137" s="1000">
        <f t="shared" si="116"/>
        <v>2</v>
      </c>
      <c r="BA137" s="1000">
        <f t="shared" si="117"/>
        <v>0</v>
      </c>
      <c r="BB137" s="655"/>
      <c r="BC137" s="686"/>
      <c r="BD137" s="655"/>
      <c r="BE137" s="670" t="s">
        <v>587</v>
      </c>
      <c r="BF137" s="671" t="s">
        <v>587</v>
      </c>
      <c r="BI137" s="1305"/>
      <c r="BJ137" s="547" t="s">
        <v>1185</v>
      </c>
      <c r="BK137" s="593"/>
      <c r="BL137" s="1009"/>
      <c r="BM137" s="1306"/>
    </row>
    <row r="138" spans="1:65" s="1010" customFormat="1" ht="25.5">
      <c r="A138" s="1479"/>
      <c r="B138" s="1481"/>
      <c r="C138" s="997" t="s">
        <v>1029</v>
      </c>
      <c r="D138" s="1207">
        <f t="shared" si="162"/>
        <v>15</v>
      </c>
      <c r="E138" s="1207">
        <f t="shared" si="163"/>
        <v>3</v>
      </c>
      <c r="F138" s="1207">
        <f t="shared" si="164"/>
        <v>12</v>
      </c>
      <c r="G138" s="1300">
        <f t="shared" si="165"/>
        <v>3</v>
      </c>
      <c r="H138" s="1300">
        <f t="shared" si="165"/>
        <v>6</v>
      </c>
      <c r="I138" s="1224">
        <f t="shared" si="166"/>
        <v>0.375</v>
      </c>
      <c r="J138" s="1225">
        <f t="shared" si="167"/>
        <v>3</v>
      </c>
      <c r="K138" s="1000">
        <f t="shared" si="168"/>
        <v>1</v>
      </c>
      <c r="L138" s="1301">
        <f t="shared" si="169"/>
        <v>1</v>
      </c>
      <c r="M138" s="686" t="s">
        <v>587</v>
      </c>
      <c r="N138" s="686"/>
      <c r="O138" s="686" t="s">
        <v>562</v>
      </c>
      <c r="P138" s="671"/>
      <c r="Q138" s="1224">
        <f t="shared" si="170"/>
        <v>0.5</v>
      </c>
      <c r="R138" s="1225">
        <f t="shared" si="171"/>
        <v>8</v>
      </c>
      <c r="S138" s="1006">
        <f t="shared" si="172"/>
        <v>2</v>
      </c>
      <c r="T138" s="1000">
        <f t="shared" si="173"/>
        <v>3</v>
      </c>
      <c r="U138" s="686" t="s">
        <v>587</v>
      </c>
      <c r="V138" s="655" t="s">
        <v>562</v>
      </c>
      <c r="W138" s="686" t="s">
        <v>562</v>
      </c>
      <c r="X138" s="686"/>
      <c r="Y138" s="655"/>
      <c r="Z138" s="686" t="s">
        <v>587</v>
      </c>
      <c r="AA138" s="1302"/>
      <c r="AB138" s="686" t="s">
        <v>562</v>
      </c>
      <c r="AC138" s="1244"/>
      <c r="AD138" s="1244"/>
      <c r="AE138" s="1000">
        <f t="shared" si="174"/>
        <v>0</v>
      </c>
      <c r="AF138" s="1000">
        <f t="shared" si="175"/>
        <v>0</v>
      </c>
      <c r="AG138" s="686"/>
      <c r="AH138" s="670"/>
      <c r="AI138" s="670"/>
      <c r="AJ138" s="808"/>
      <c r="AK138" s="1303"/>
      <c r="AL138" s="1304"/>
      <c r="AM138" s="1224">
        <f t="shared" si="176"/>
        <v>0</v>
      </c>
      <c r="AN138" s="1225">
        <f t="shared" si="177"/>
        <v>0</v>
      </c>
      <c r="AO138" s="1000">
        <f t="shared" si="178"/>
        <v>0</v>
      </c>
      <c r="AP138" s="1000">
        <f t="shared" si="179"/>
        <v>0</v>
      </c>
      <c r="AQ138" s="670"/>
      <c r="AR138" s="670"/>
      <c r="AS138" s="670"/>
      <c r="AT138" s="670"/>
      <c r="AU138" s="808"/>
      <c r="AV138" s="670"/>
      <c r="AW138" s="808"/>
      <c r="AX138" s="1224">
        <f t="shared" si="180"/>
        <v>0.4</v>
      </c>
      <c r="AY138" s="1225">
        <f t="shared" si="181"/>
        <v>4</v>
      </c>
      <c r="AZ138" s="1000">
        <f t="shared" si="116"/>
        <v>0</v>
      </c>
      <c r="BA138" s="1000">
        <f t="shared" si="117"/>
        <v>2</v>
      </c>
      <c r="BB138" s="655"/>
      <c r="BC138" s="686"/>
      <c r="BD138" s="655"/>
      <c r="BE138" s="721" t="s">
        <v>562</v>
      </c>
      <c r="BF138" s="721" t="s">
        <v>562</v>
      </c>
      <c r="BI138" s="1305"/>
      <c r="BJ138" s="1483" t="s">
        <v>1184</v>
      </c>
      <c r="BK138" s="593"/>
      <c r="BL138" s="1009"/>
      <c r="BM138" s="1306"/>
    </row>
    <row r="139" spans="1:65" s="1010" customFormat="1" ht="12.75">
      <c r="A139" s="1479"/>
      <c r="B139" s="1481"/>
      <c r="C139" s="997" t="s">
        <v>1030</v>
      </c>
      <c r="D139" s="1207">
        <f t="shared" si="162"/>
        <v>10</v>
      </c>
      <c r="E139" s="1207">
        <f t="shared" si="163"/>
        <v>4</v>
      </c>
      <c r="F139" s="1207">
        <f t="shared" si="164"/>
        <v>6</v>
      </c>
      <c r="G139" s="1300">
        <f t="shared" si="165"/>
        <v>4</v>
      </c>
      <c r="H139" s="1300">
        <f t="shared" si="165"/>
        <v>3</v>
      </c>
      <c r="I139" s="1224">
        <f t="shared" si="166"/>
        <v>0.25</v>
      </c>
      <c r="J139" s="1225">
        <f t="shared" si="167"/>
        <v>2</v>
      </c>
      <c r="K139" s="1000">
        <f t="shared" si="168"/>
        <v>2</v>
      </c>
      <c r="L139" s="1301">
        <f t="shared" si="169"/>
        <v>0</v>
      </c>
      <c r="M139" s="686" t="s">
        <v>587</v>
      </c>
      <c r="N139" s="686"/>
      <c r="O139" s="686" t="s">
        <v>587</v>
      </c>
      <c r="P139" s="671"/>
      <c r="Q139" s="1224">
        <f t="shared" si="170"/>
        <v>0.3125</v>
      </c>
      <c r="R139" s="1225">
        <f t="shared" si="171"/>
        <v>5</v>
      </c>
      <c r="S139" s="1006">
        <f t="shared" si="172"/>
        <v>1</v>
      </c>
      <c r="T139" s="1000">
        <f t="shared" si="173"/>
        <v>2</v>
      </c>
      <c r="U139" s="686" t="s">
        <v>562</v>
      </c>
      <c r="V139" s="655" t="s">
        <v>562</v>
      </c>
      <c r="W139" s="686"/>
      <c r="X139" s="686"/>
      <c r="Y139" s="655"/>
      <c r="Z139" s="686"/>
      <c r="AA139" s="1302"/>
      <c r="AB139" s="686" t="s">
        <v>587</v>
      </c>
      <c r="AC139" s="1244"/>
      <c r="AD139" s="1244"/>
      <c r="AE139" s="1000">
        <f t="shared" si="174"/>
        <v>0</v>
      </c>
      <c r="AF139" s="1000">
        <f t="shared" si="175"/>
        <v>0</v>
      </c>
      <c r="AG139" s="686"/>
      <c r="AH139" s="670"/>
      <c r="AI139" s="670"/>
      <c r="AJ139" s="808"/>
      <c r="AK139" s="1303"/>
      <c r="AL139" s="1304"/>
      <c r="AM139" s="1224">
        <f t="shared" si="176"/>
        <v>0</v>
      </c>
      <c r="AN139" s="1225">
        <f t="shared" si="177"/>
        <v>0</v>
      </c>
      <c r="AO139" s="1000">
        <f t="shared" si="178"/>
        <v>0</v>
      </c>
      <c r="AP139" s="1000">
        <f t="shared" si="179"/>
        <v>0</v>
      </c>
      <c r="AQ139" s="670"/>
      <c r="AR139" s="670"/>
      <c r="AS139" s="670"/>
      <c r="AT139" s="670"/>
      <c r="AU139" s="808"/>
      <c r="AV139" s="670"/>
      <c r="AW139" s="808"/>
      <c r="AX139" s="1224">
        <f t="shared" si="180"/>
        <v>0.3</v>
      </c>
      <c r="AY139" s="1225">
        <f t="shared" si="181"/>
        <v>3</v>
      </c>
      <c r="AZ139" s="1000">
        <f t="shared" si="116"/>
        <v>1</v>
      </c>
      <c r="BA139" s="1000">
        <f t="shared" si="117"/>
        <v>1</v>
      </c>
      <c r="BB139" s="655"/>
      <c r="BC139" s="686"/>
      <c r="BD139" s="655"/>
      <c r="BE139" s="670" t="s">
        <v>587</v>
      </c>
      <c r="BF139" s="671" t="s">
        <v>562</v>
      </c>
      <c r="BI139" s="1305"/>
      <c r="BJ139" s="1484"/>
      <c r="BK139" s="593"/>
      <c r="BL139" s="1009"/>
      <c r="BM139" s="1306"/>
    </row>
    <row r="140" spans="1:65" s="1010" customFormat="1" ht="25.5">
      <c r="A140" s="1479"/>
      <c r="B140" s="1481"/>
      <c r="C140" s="997" t="s">
        <v>1031</v>
      </c>
      <c r="D140" s="1207">
        <f t="shared" si="162"/>
        <v>13</v>
      </c>
      <c r="E140" s="1207">
        <f t="shared" si="163"/>
        <v>3</v>
      </c>
      <c r="F140" s="1207">
        <f t="shared" si="164"/>
        <v>10</v>
      </c>
      <c r="G140" s="1300">
        <f t="shared" si="165"/>
        <v>3</v>
      </c>
      <c r="H140" s="1300">
        <f t="shared" si="165"/>
        <v>5</v>
      </c>
      <c r="I140" s="1224">
        <f t="shared" si="166"/>
        <v>0.25</v>
      </c>
      <c r="J140" s="1225">
        <f t="shared" si="167"/>
        <v>2</v>
      </c>
      <c r="K140" s="1000">
        <f t="shared" si="168"/>
        <v>2</v>
      </c>
      <c r="L140" s="1301">
        <f t="shared" si="169"/>
        <v>0</v>
      </c>
      <c r="M140" s="686" t="s">
        <v>587</v>
      </c>
      <c r="N140" s="686"/>
      <c r="O140" s="686" t="s">
        <v>587</v>
      </c>
      <c r="P140" s="671"/>
      <c r="Q140" s="1224">
        <f t="shared" si="170"/>
        <v>0.6875</v>
      </c>
      <c r="R140" s="1225">
        <f t="shared" si="171"/>
        <v>11</v>
      </c>
      <c r="S140" s="1006">
        <f t="shared" si="172"/>
        <v>1</v>
      </c>
      <c r="T140" s="1000">
        <f t="shared" si="173"/>
        <v>5</v>
      </c>
      <c r="U140" s="686" t="s">
        <v>562</v>
      </c>
      <c r="V140" s="655" t="s">
        <v>562</v>
      </c>
      <c r="W140" s="686" t="s">
        <v>562</v>
      </c>
      <c r="X140" s="686"/>
      <c r="Y140" s="655" t="s">
        <v>587</v>
      </c>
      <c r="Z140" s="686" t="s">
        <v>562</v>
      </c>
      <c r="AA140" s="1302"/>
      <c r="AB140" s="686" t="s">
        <v>562</v>
      </c>
      <c r="AC140" s="1244"/>
      <c r="AD140" s="1244"/>
      <c r="AE140" s="1000">
        <f t="shared" si="174"/>
        <v>0</v>
      </c>
      <c r="AF140" s="1000">
        <f t="shared" si="175"/>
        <v>0</v>
      </c>
      <c r="AG140" s="686"/>
      <c r="AH140" s="670"/>
      <c r="AI140" s="670"/>
      <c r="AJ140" s="808"/>
      <c r="AK140" s="1303"/>
      <c r="AL140" s="1304"/>
      <c r="AM140" s="1224">
        <f t="shared" si="176"/>
        <v>0</v>
      </c>
      <c r="AN140" s="1225">
        <f t="shared" si="177"/>
        <v>0</v>
      </c>
      <c r="AO140" s="1000">
        <f t="shared" si="178"/>
        <v>0</v>
      </c>
      <c r="AP140" s="1000">
        <f t="shared" si="179"/>
        <v>0</v>
      </c>
      <c r="AQ140" s="670"/>
      <c r="AR140" s="670"/>
      <c r="AS140" s="670"/>
      <c r="AT140" s="670"/>
      <c r="AU140" s="808"/>
      <c r="AV140" s="670"/>
      <c r="AW140" s="808"/>
      <c r="AX140" s="1224">
        <f t="shared" si="180"/>
        <v>0</v>
      </c>
      <c r="AY140" s="1225">
        <f t="shared" si="181"/>
        <v>0</v>
      </c>
      <c r="AZ140" s="1000">
        <f t="shared" si="116"/>
        <v>0</v>
      </c>
      <c r="BA140" s="1000">
        <f t="shared" si="117"/>
        <v>0</v>
      </c>
      <c r="BB140" s="655"/>
      <c r="BC140" s="686"/>
      <c r="BD140" s="655"/>
      <c r="BE140" s="670"/>
      <c r="BF140" s="671"/>
      <c r="BI140" s="1305"/>
      <c r="BJ140" s="547" t="s">
        <v>1183</v>
      </c>
      <c r="BK140" s="593"/>
      <c r="BL140" s="1009"/>
      <c r="BM140" s="1306"/>
    </row>
    <row r="141" spans="1:65" s="1010" customFormat="1" ht="25.5">
      <c r="A141" s="1479"/>
      <c r="B141" s="1481"/>
      <c r="C141" s="997" t="s">
        <v>994</v>
      </c>
      <c r="D141" s="1207">
        <f t="shared" si="162"/>
        <v>15</v>
      </c>
      <c r="E141" s="1207">
        <f t="shared" si="163"/>
        <v>3</v>
      </c>
      <c r="F141" s="1207">
        <f t="shared" si="164"/>
        <v>12</v>
      </c>
      <c r="G141" s="1300">
        <f t="shared" si="165"/>
        <v>3</v>
      </c>
      <c r="H141" s="1300">
        <f t="shared" si="165"/>
        <v>6</v>
      </c>
      <c r="I141" s="1224">
        <f t="shared" si="166"/>
        <v>0.375</v>
      </c>
      <c r="J141" s="1225">
        <f t="shared" si="167"/>
        <v>3</v>
      </c>
      <c r="K141" s="1000">
        <f t="shared" si="168"/>
        <v>1</v>
      </c>
      <c r="L141" s="1301">
        <f t="shared" si="169"/>
        <v>1</v>
      </c>
      <c r="M141" s="686" t="s">
        <v>587</v>
      </c>
      <c r="N141" s="686"/>
      <c r="O141" s="686" t="s">
        <v>562</v>
      </c>
      <c r="P141" s="671"/>
      <c r="Q141" s="1224">
        <f t="shared" si="170"/>
        <v>0.625</v>
      </c>
      <c r="R141" s="1225">
        <f t="shared" si="171"/>
        <v>10</v>
      </c>
      <c r="S141" s="1006">
        <f t="shared" si="172"/>
        <v>0</v>
      </c>
      <c r="T141" s="1000">
        <f t="shared" si="173"/>
        <v>5</v>
      </c>
      <c r="U141" s="686"/>
      <c r="V141" s="655" t="s">
        <v>562</v>
      </c>
      <c r="W141" s="686" t="s">
        <v>562</v>
      </c>
      <c r="X141" s="686"/>
      <c r="Y141" s="655" t="s">
        <v>562</v>
      </c>
      <c r="Z141" s="686" t="s">
        <v>562</v>
      </c>
      <c r="AA141" s="1302"/>
      <c r="AB141" s="686" t="s">
        <v>562</v>
      </c>
      <c r="AC141" s="1244"/>
      <c r="AD141" s="1244"/>
      <c r="AE141" s="1000">
        <f t="shared" si="174"/>
        <v>0</v>
      </c>
      <c r="AF141" s="1000">
        <f t="shared" si="175"/>
        <v>0</v>
      </c>
      <c r="AG141" s="686"/>
      <c r="AH141" s="670"/>
      <c r="AI141" s="670"/>
      <c r="AJ141" s="808"/>
      <c r="AK141" s="1303"/>
      <c r="AL141" s="1304"/>
      <c r="AM141" s="1224">
        <f t="shared" si="176"/>
        <v>0</v>
      </c>
      <c r="AN141" s="1225">
        <f t="shared" si="177"/>
        <v>0</v>
      </c>
      <c r="AO141" s="1000">
        <f t="shared" si="178"/>
        <v>0</v>
      </c>
      <c r="AP141" s="1000">
        <f t="shared" si="179"/>
        <v>0</v>
      </c>
      <c r="AQ141" s="670"/>
      <c r="AR141" s="670"/>
      <c r="AS141" s="670"/>
      <c r="AT141" s="670"/>
      <c r="AU141" s="808"/>
      <c r="AV141" s="670"/>
      <c r="AW141" s="808"/>
      <c r="AX141" s="1224">
        <f t="shared" si="180"/>
        <v>0.2</v>
      </c>
      <c r="AY141" s="1225">
        <f t="shared" si="181"/>
        <v>2</v>
      </c>
      <c r="AZ141" s="1000">
        <f t="shared" si="116"/>
        <v>2</v>
      </c>
      <c r="BA141" s="1000">
        <f t="shared" si="117"/>
        <v>0</v>
      </c>
      <c r="BB141" s="655"/>
      <c r="BC141" s="686"/>
      <c r="BD141" s="655"/>
      <c r="BE141" s="670" t="s">
        <v>587</v>
      </c>
      <c r="BF141" s="671" t="s">
        <v>587</v>
      </c>
      <c r="BI141" s="1305"/>
      <c r="BJ141" s="502" t="s">
        <v>653</v>
      </c>
      <c r="BK141" s="593"/>
      <c r="BL141" s="1009"/>
      <c r="BM141" s="1306"/>
    </row>
    <row r="142" spans="1:65" s="1010" customFormat="1" ht="22.5">
      <c r="A142" s="1479"/>
      <c r="B142" s="1481"/>
      <c r="C142" s="997" t="s">
        <v>1342</v>
      </c>
      <c r="D142" s="1207">
        <f t="shared" si="162"/>
        <v>10</v>
      </c>
      <c r="E142" s="1207">
        <f t="shared" si="163"/>
        <v>4</v>
      </c>
      <c r="F142" s="1207">
        <f t="shared" si="164"/>
        <v>6</v>
      </c>
      <c r="G142" s="1300">
        <f t="shared" si="165"/>
        <v>4</v>
      </c>
      <c r="H142" s="1300">
        <f t="shared" si="165"/>
        <v>3</v>
      </c>
      <c r="I142" s="1224">
        <f t="shared" si="166"/>
        <v>0.25</v>
      </c>
      <c r="J142" s="1225">
        <f t="shared" si="167"/>
        <v>2</v>
      </c>
      <c r="K142" s="1000">
        <f t="shared" si="168"/>
        <v>2</v>
      </c>
      <c r="L142" s="1301">
        <f t="shared" si="169"/>
        <v>0</v>
      </c>
      <c r="M142" s="686" t="s">
        <v>587</v>
      </c>
      <c r="N142" s="686"/>
      <c r="O142" s="686" t="s">
        <v>587</v>
      </c>
      <c r="P142" s="671"/>
      <c r="Q142" s="1224">
        <f t="shared" si="170"/>
        <v>0.375</v>
      </c>
      <c r="R142" s="1225">
        <f t="shared" si="171"/>
        <v>6</v>
      </c>
      <c r="S142" s="1006">
        <f t="shared" si="172"/>
        <v>0</v>
      </c>
      <c r="T142" s="1000">
        <f t="shared" si="173"/>
        <v>3</v>
      </c>
      <c r="U142" s="686"/>
      <c r="V142" s="655"/>
      <c r="W142" s="686" t="s">
        <v>562</v>
      </c>
      <c r="X142" s="686"/>
      <c r="Y142" s="655" t="s">
        <v>562</v>
      </c>
      <c r="Z142" s="686"/>
      <c r="AA142" s="1302"/>
      <c r="AB142" s="686" t="s">
        <v>562</v>
      </c>
      <c r="AC142" s="1244"/>
      <c r="AD142" s="1244"/>
      <c r="AE142" s="1000">
        <f t="shared" si="174"/>
        <v>0</v>
      </c>
      <c r="AF142" s="1000">
        <f t="shared" si="175"/>
        <v>0</v>
      </c>
      <c r="AG142" s="686"/>
      <c r="AH142" s="670"/>
      <c r="AI142" s="670"/>
      <c r="AJ142" s="808"/>
      <c r="AK142" s="1303"/>
      <c r="AL142" s="1304"/>
      <c r="AM142" s="1224">
        <f t="shared" si="176"/>
        <v>0</v>
      </c>
      <c r="AN142" s="1225">
        <f t="shared" si="177"/>
        <v>0</v>
      </c>
      <c r="AO142" s="1000">
        <f t="shared" si="178"/>
        <v>0</v>
      </c>
      <c r="AP142" s="1000">
        <f t="shared" si="179"/>
        <v>0</v>
      </c>
      <c r="AQ142" s="670"/>
      <c r="AR142" s="670"/>
      <c r="AS142" s="670"/>
      <c r="AT142" s="670"/>
      <c r="AU142" s="808"/>
      <c r="AV142" s="670"/>
      <c r="AW142" s="808"/>
      <c r="AX142" s="1224">
        <f t="shared" si="180"/>
        <v>0.2</v>
      </c>
      <c r="AY142" s="1225">
        <f t="shared" si="181"/>
        <v>2</v>
      </c>
      <c r="AZ142" s="1000">
        <f t="shared" si="116"/>
        <v>2</v>
      </c>
      <c r="BA142" s="1000">
        <f t="shared" si="117"/>
        <v>0</v>
      </c>
      <c r="BB142" s="655"/>
      <c r="BC142" s="686"/>
      <c r="BD142" s="655"/>
      <c r="BE142" s="670" t="s">
        <v>587</v>
      </c>
      <c r="BF142" s="671" t="s">
        <v>587</v>
      </c>
      <c r="BI142" s="1305"/>
      <c r="BJ142" s="502" t="s">
        <v>1343</v>
      </c>
      <c r="BK142" s="593"/>
      <c r="BL142" s="1009"/>
      <c r="BM142" s="1306"/>
    </row>
    <row r="143" spans="1:65" s="1010" customFormat="1" ht="45">
      <c r="A143" s="1479"/>
      <c r="B143" s="1481"/>
      <c r="C143" s="997" t="s">
        <v>1463</v>
      </c>
      <c r="D143" s="1207">
        <f t="shared" si="162"/>
        <v>11</v>
      </c>
      <c r="E143" s="1207">
        <f t="shared" si="163"/>
        <v>1</v>
      </c>
      <c r="F143" s="1207">
        <f t="shared" si="164"/>
        <v>10</v>
      </c>
      <c r="G143" s="1300">
        <f t="shared" si="165"/>
        <v>1</v>
      </c>
      <c r="H143" s="1300">
        <f t="shared" si="165"/>
        <v>5</v>
      </c>
      <c r="I143" s="1224">
        <f t="shared" si="166"/>
        <v>0.5</v>
      </c>
      <c r="J143" s="1225">
        <f t="shared" si="167"/>
        <v>4</v>
      </c>
      <c r="K143" s="1000">
        <f t="shared" si="168"/>
        <v>0</v>
      </c>
      <c r="L143" s="1301">
        <f t="shared" si="169"/>
        <v>2</v>
      </c>
      <c r="M143" s="686" t="s">
        <v>562</v>
      </c>
      <c r="N143" s="686"/>
      <c r="O143" s="686" t="s">
        <v>562</v>
      </c>
      <c r="P143" s="671"/>
      <c r="Q143" s="1224">
        <f t="shared" si="170"/>
        <v>0.4375</v>
      </c>
      <c r="R143" s="1225">
        <f t="shared" si="171"/>
        <v>7</v>
      </c>
      <c r="S143" s="1006">
        <f t="shared" si="172"/>
        <v>1</v>
      </c>
      <c r="T143" s="1000">
        <f t="shared" si="173"/>
        <v>3</v>
      </c>
      <c r="U143" s="686" t="s">
        <v>587</v>
      </c>
      <c r="V143" s="655"/>
      <c r="W143" s="686"/>
      <c r="X143" s="686"/>
      <c r="Y143" s="655" t="s">
        <v>562</v>
      </c>
      <c r="Z143" s="686" t="s">
        <v>562</v>
      </c>
      <c r="AA143" s="1302"/>
      <c r="AB143" s="686" t="s">
        <v>562</v>
      </c>
      <c r="AC143" s="1244"/>
      <c r="AD143" s="1244"/>
      <c r="AE143" s="1000">
        <f t="shared" si="174"/>
        <v>0</v>
      </c>
      <c r="AF143" s="1000">
        <f t="shared" si="175"/>
        <v>0</v>
      </c>
      <c r="AG143" s="686"/>
      <c r="AH143" s="670"/>
      <c r="AI143" s="670"/>
      <c r="AJ143" s="808"/>
      <c r="AK143" s="1303"/>
      <c r="AL143" s="1304"/>
      <c r="AM143" s="1224">
        <f t="shared" si="176"/>
        <v>0</v>
      </c>
      <c r="AN143" s="1225">
        <f t="shared" si="177"/>
        <v>0</v>
      </c>
      <c r="AO143" s="1000">
        <f t="shared" si="178"/>
        <v>0</v>
      </c>
      <c r="AP143" s="1000">
        <f t="shared" si="179"/>
        <v>0</v>
      </c>
      <c r="AQ143" s="670"/>
      <c r="AR143" s="670"/>
      <c r="AS143" s="670"/>
      <c r="AT143" s="670"/>
      <c r="AU143" s="808"/>
      <c r="AV143" s="670"/>
      <c r="AW143" s="808"/>
      <c r="AX143" s="1224">
        <f t="shared" si="180"/>
        <v>0</v>
      </c>
      <c r="AY143" s="1225">
        <f t="shared" si="181"/>
        <v>0</v>
      </c>
      <c r="AZ143" s="1000">
        <f t="shared" si="116"/>
        <v>0</v>
      </c>
      <c r="BA143" s="1000">
        <f t="shared" si="117"/>
        <v>0</v>
      </c>
      <c r="BB143" s="655"/>
      <c r="BC143" s="686"/>
      <c r="BD143" s="655"/>
      <c r="BE143" s="670"/>
      <c r="BF143" s="671"/>
      <c r="BI143" s="1305"/>
      <c r="BJ143" s="502" t="s">
        <v>1641</v>
      </c>
      <c r="BK143" s="593"/>
      <c r="BL143" s="1009"/>
      <c r="BM143" s="1306"/>
    </row>
    <row r="144" spans="1:65" s="1010" customFormat="1" ht="38.25">
      <c r="A144" s="1479"/>
      <c r="B144" s="1482"/>
      <c r="C144" s="997" t="s">
        <v>964</v>
      </c>
      <c r="D144" s="1207">
        <f t="shared" si="162"/>
        <v>8</v>
      </c>
      <c r="E144" s="1207">
        <f t="shared" si="163"/>
        <v>4</v>
      </c>
      <c r="F144" s="1207">
        <f t="shared" si="164"/>
        <v>4</v>
      </c>
      <c r="G144" s="1300">
        <f t="shared" si="165"/>
        <v>4</v>
      </c>
      <c r="H144" s="1300">
        <f t="shared" si="165"/>
        <v>2</v>
      </c>
      <c r="I144" s="1224">
        <f t="shared" si="166"/>
        <v>0.25</v>
      </c>
      <c r="J144" s="1225">
        <f t="shared" si="167"/>
        <v>2</v>
      </c>
      <c r="K144" s="1000">
        <f t="shared" si="168"/>
        <v>2</v>
      </c>
      <c r="L144" s="1301">
        <f t="shared" si="169"/>
        <v>0</v>
      </c>
      <c r="M144" s="686" t="s">
        <v>587</v>
      </c>
      <c r="N144" s="686"/>
      <c r="O144" s="686" t="s">
        <v>587</v>
      </c>
      <c r="P144" s="671"/>
      <c r="Q144" s="1224">
        <f t="shared" si="170"/>
        <v>0.375</v>
      </c>
      <c r="R144" s="1225">
        <f t="shared" si="171"/>
        <v>6</v>
      </c>
      <c r="S144" s="1006">
        <f t="shared" si="172"/>
        <v>2</v>
      </c>
      <c r="T144" s="1000">
        <f t="shared" si="173"/>
        <v>2</v>
      </c>
      <c r="U144" s="686" t="s">
        <v>587</v>
      </c>
      <c r="V144" s="655" t="s">
        <v>562</v>
      </c>
      <c r="W144" s="686"/>
      <c r="X144" s="686"/>
      <c r="Y144" s="655" t="s">
        <v>587</v>
      </c>
      <c r="Z144" s="686"/>
      <c r="AA144" s="1302"/>
      <c r="AB144" s="686" t="s">
        <v>562</v>
      </c>
      <c r="AC144" s="1244"/>
      <c r="AD144" s="1244"/>
      <c r="AE144" s="1000">
        <f t="shared" si="174"/>
        <v>0</v>
      </c>
      <c r="AF144" s="1000">
        <f t="shared" si="175"/>
        <v>0</v>
      </c>
      <c r="AG144" s="686"/>
      <c r="AH144" s="670"/>
      <c r="AI144" s="670"/>
      <c r="AJ144" s="808"/>
      <c r="AK144" s="1303"/>
      <c r="AL144" s="1304"/>
      <c r="AM144" s="1224">
        <f t="shared" si="176"/>
        <v>0</v>
      </c>
      <c r="AN144" s="1225">
        <f t="shared" si="177"/>
        <v>0</v>
      </c>
      <c r="AO144" s="1000">
        <f t="shared" si="178"/>
        <v>0</v>
      </c>
      <c r="AP144" s="1000">
        <f t="shared" si="179"/>
        <v>0</v>
      </c>
      <c r="AQ144" s="670"/>
      <c r="AR144" s="670"/>
      <c r="AS144" s="670"/>
      <c r="AT144" s="670"/>
      <c r="AU144" s="808"/>
      <c r="AV144" s="670"/>
      <c r="AW144" s="808"/>
      <c r="AX144" s="1224">
        <f t="shared" si="180"/>
        <v>0</v>
      </c>
      <c r="AY144" s="1225">
        <f t="shared" si="181"/>
        <v>0</v>
      </c>
      <c r="AZ144" s="1000">
        <f t="shared" si="116"/>
        <v>0</v>
      </c>
      <c r="BA144" s="1000">
        <f t="shared" si="117"/>
        <v>0</v>
      </c>
      <c r="BB144" s="655"/>
      <c r="BC144" s="686"/>
      <c r="BD144" s="655"/>
      <c r="BE144" s="670"/>
      <c r="BF144" s="671"/>
      <c r="BI144" s="1305"/>
      <c r="BJ144" s="502" t="s">
        <v>1182</v>
      </c>
      <c r="BK144" s="593"/>
      <c r="BL144" s="1009"/>
      <c r="BM144" s="1306"/>
    </row>
    <row r="145" spans="1:65" s="1010" customFormat="1" ht="12.75">
      <c r="A145" s="1000" t="s">
        <v>1589</v>
      </c>
      <c r="B145" s="1011"/>
      <c r="C145" s="997"/>
      <c r="D145" s="571"/>
      <c r="E145" s="571"/>
      <c r="F145" s="571"/>
      <c r="G145" s="1300"/>
      <c r="H145" s="1300"/>
      <c r="I145" s="1251"/>
      <c r="J145" s="1251"/>
      <c r="K145" s="1307"/>
      <c r="L145" s="1307"/>
      <c r="M145" s="686">
        <f>COUNTIF(M134:M144, "M")</f>
        <v>8</v>
      </c>
      <c r="N145" s="686">
        <f t="shared" ref="N145:BF145" si="182">COUNTIF(N134:N144, "M")</f>
        <v>0</v>
      </c>
      <c r="O145" s="686">
        <f t="shared" si="182"/>
        <v>7</v>
      </c>
      <c r="P145" s="671">
        <f t="shared" si="182"/>
        <v>0</v>
      </c>
      <c r="Q145" s="1252"/>
      <c r="R145" s="286"/>
      <c r="S145" s="655"/>
      <c r="T145" s="686"/>
      <c r="U145" s="686">
        <f t="shared" si="182"/>
        <v>5</v>
      </c>
      <c r="V145" s="686">
        <f t="shared" si="182"/>
        <v>1</v>
      </c>
      <c r="W145" s="686">
        <f t="shared" si="182"/>
        <v>0</v>
      </c>
      <c r="X145" s="686">
        <f t="shared" si="182"/>
        <v>0</v>
      </c>
      <c r="Y145" s="686">
        <f t="shared" si="182"/>
        <v>3</v>
      </c>
      <c r="Z145" s="686">
        <f t="shared" si="182"/>
        <v>1</v>
      </c>
      <c r="AA145" s="686">
        <f t="shared" si="182"/>
        <v>0</v>
      </c>
      <c r="AB145" s="686">
        <f t="shared" si="182"/>
        <v>1</v>
      </c>
      <c r="AC145" s="1252"/>
      <c r="AD145" s="1252"/>
      <c r="AE145" s="686"/>
      <c r="AF145" s="686"/>
      <c r="AG145" s="686">
        <f t="shared" si="182"/>
        <v>0</v>
      </c>
      <c r="AH145" s="686">
        <f t="shared" si="182"/>
        <v>0</v>
      </c>
      <c r="AI145" s="686">
        <f t="shared" si="182"/>
        <v>0</v>
      </c>
      <c r="AJ145" s="686">
        <f t="shared" si="182"/>
        <v>0</v>
      </c>
      <c r="AK145" s="686">
        <f t="shared" si="182"/>
        <v>0</v>
      </c>
      <c r="AL145" s="686">
        <f t="shared" si="182"/>
        <v>0</v>
      </c>
      <c r="AM145" s="1252"/>
      <c r="AN145" s="1252"/>
      <c r="AO145" s="686"/>
      <c r="AP145" s="686"/>
      <c r="AQ145" s="686">
        <f t="shared" si="182"/>
        <v>1</v>
      </c>
      <c r="AR145" s="686">
        <f t="shared" si="182"/>
        <v>0</v>
      </c>
      <c r="AS145" s="686">
        <f t="shared" si="182"/>
        <v>0</v>
      </c>
      <c r="AT145" s="686">
        <f t="shared" si="182"/>
        <v>0</v>
      </c>
      <c r="AU145" s="686">
        <f t="shared" si="182"/>
        <v>0</v>
      </c>
      <c r="AV145" s="686">
        <f t="shared" si="182"/>
        <v>0</v>
      </c>
      <c r="AW145" s="686">
        <f t="shared" si="182"/>
        <v>0</v>
      </c>
      <c r="AX145" s="1252"/>
      <c r="AY145" s="1252"/>
      <c r="AZ145" s="686"/>
      <c r="BA145" s="686"/>
      <c r="BB145" s="686">
        <f t="shared" si="182"/>
        <v>0</v>
      </c>
      <c r="BC145" s="686">
        <f t="shared" si="182"/>
        <v>0</v>
      </c>
      <c r="BD145" s="686">
        <f t="shared" si="182"/>
        <v>1</v>
      </c>
      <c r="BE145" s="686">
        <f t="shared" si="182"/>
        <v>6</v>
      </c>
      <c r="BF145" s="686">
        <f t="shared" si="182"/>
        <v>4</v>
      </c>
      <c r="BI145" s="1308"/>
      <c r="BJ145" s="547"/>
      <c r="BK145" s="1009"/>
      <c r="BL145" s="1009"/>
      <c r="BM145" s="1306"/>
    </row>
    <row r="146" spans="1:65" s="1010" customFormat="1" ht="12.75">
      <c r="A146" s="1000" t="s">
        <v>1590</v>
      </c>
      <c r="B146" s="1011"/>
      <c r="C146" s="997"/>
      <c r="D146" s="571"/>
      <c r="E146" s="571"/>
      <c r="F146" s="571"/>
      <c r="G146" s="1300"/>
      <c r="H146" s="1300"/>
      <c r="I146" s="1251"/>
      <c r="J146" s="1251"/>
      <c r="K146" s="1307"/>
      <c r="L146" s="1307"/>
      <c r="M146" s="686">
        <f>COUNTIF(M134:M144, "H")</f>
        <v>3</v>
      </c>
      <c r="N146" s="686">
        <f t="shared" ref="N146:BF146" si="183">COUNTIF(N134:N144, "H")</f>
        <v>0</v>
      </c>
      <c r="O146" s="686">
        <f t="shared" si="183"/>
        <v>4</v>
      </c>
      <c r="P146" s="671">
        <f t="shared" si="183"/>
        <v>0</v>
      </c>
      <c r="Q146" s="1252"/>
      <c r="R146" s="286"/>
      <c r="S146" s="655"/>
      <c r="T146" s="686"/>
      <c r="U146" s="686">
        <f t="shared" si="183"/>
        <v>4</v>
      </c>
      <c r="V146" s="686">
        <f t="shared" si="183"/>
        <v>6</v>
      </c>
      <c r="W146" s="686">
        <f t="shared" si="183"/>
        <v>7</v>
      </c>
      <c r="X146" s="686">
        <f t="shared" si="183"/>
        <v>0</v>
      </c>
      <c r="Y146" s="686">
        <f t="shared" si="183"/>
        <v>4</v>
      </c>
      <c r="Z146" s="686">
        <f t="shared" si="183"/>
        <v>5</v>
      </c>
      <c r="AA146" s="686">
        <f t="shared" si="183"/>
        <v>2</v>
      </c>
      <c r="AB146" s="686">
        <f t="shared" si="183"/>
        <v>9</v>
      </c>
      <c r="AC146" s="1252"/>
      <c r="AD146" s="1252"/>
      <c r="AE146" s="686"/>
      <c r="AF146" s="686"/>
      <c r="AG146" s="686">
        <f t="shared" si="183"/>
        <v>0</v>
      </c>
      <c r="AH146" s="686">
        <f t="shared" si="183"/>
        <v>0</v>
      </c>
      <c r="AI146" s="686">
        <f t="shared" si="183"/>
        <v>0</v>
      </c>
      <c r="AJ146" s="686">
        <f t="shared" si="183"/>
        <v>0</v>
      </c>
      <c r="AK146" s="686">
        <f t="shared" si="183"/>
        <v>0</v>
      </c>
      <c r="AL146" s="686">
        <f t="shared" si="183"/>
        <v>0</v>
      </c>
      <c r="AM146" s="1252"/>
      <c r="AN146" s="1252"/>
      <c r="AO146" s="686"/>
      <c r="AP146" s="686"/>
      <c r="AQ146" s="686">
        <f t="shared" si="183"/>
        <v>0</v>
      </c>
      <c r="AR146" s="686">
        <f t="shared" si="183"/>
        <v>0</v>
      </c>
      <c r="AS146" s="686">
        <f t="shared" si="183"/>
        <v>0</v>
      </c>
      <c r="AT146" s="686">
        <f t="shared" si="183"/>
        <v>0</v>
      </c>
      <c r="AU146" s="686">
        <f t="shared" si="183"/>
        <v>0</v>
      </c>
      <c r="AV146" s="686">
        <f t="shared" si="183"/>
        <v>0</v>
      </c>
      <c r="AW146" s="686">
        <f t="shared" si="183"/>
        <v>0</v>
      </c>
      <c r="AX146" s="1252"/>
      <c r="AY146" s="1252"/>
      <c r="AZ146" s="686"/>
      <c r="BA146" s="686"/>
      <c r="BB146" s="686">
        <f t="shared" si="183"/>
        <v>0</v>
      </c>
      <c r="BC146" s="686">
        <f t="shared" si="183"/>
        <v>0</v>
      </c>
      <c r="BD146" s="686">
        <f t="shared" si="183"/>
        <v>0</v>
      </c>
      <c r="BE146" s="686">
        <f t="shared" si="183"/>
        <v>2</v>
      </c>
      <c r="BF146" s="686">
        <f t="shared" si="183"/>
        <v>4</v>
      </c>
      <c r="BI146" s="1308"/>
      <c r="BJ146" s="547"/>
      <c r="BK146" s="1009"/>
      <c r="BL146" s="1009"/>
      <c r="BM146" s="1306"/>
    </row>
    <row r="147" spans="1:65" s="953" customFormat="1" ht="38.25">
      <c r="A147" s="1485" t="s">
        <v>995</v>
      </c>
      <c r="B147" s="331" t="s">
        <v>997</v>
      </c>
      <c r="C147" s="425"/>
      <c r="D147" s="1207">
        <f t="shared" ref="D147:D149" si="184">E147+F147</f>
        <v>7</v>
      </c>
      <c r="E147" s="1207">
        <f t="shared" ref="E147:E149" si="185">G147*1</f>
        <v>3</v>
      </c>
      <c r="F147" s="1207">
        <f t="shared" ref="F147:F149" si="186">H147*2</f>
        <v>4</v>
      </c>
      <c r="G147" s="1263">
        <f t="shared" ref="G147:H149" si="187">SUM(K147+S147+AE147+AO147+AZ147)</f>
        <v>3</v>
      </c>
      <c r="H147" s="1263">
        <f t="shared" si="187"/>
        <v>2</v>
      </c>
      <c r="I147" s="1224">
        <f t="shared" ref="I147:I149" si="188">J147/8</f>
        <v>0.375</v>
      </c>
      <c r="J147" s="1225">
        <f t="shared" ref="J147:J149" si="189">K147+(L147*2)</f>
        <v>3</v>
      </c>
      <c r="K147" s="946">
        <f t="shared" ref="K147:K149" si="190">COUNTIF(M147:P147, "M")</f>
        <v>1</v>
      </c>
      <c r="L147" s="1264">
        <f t="shared" ref="L147:L149" si="191">COUNTIF(M147:P147, "H")</f>
        <v>1</v>
      </c>
      <c r="M147" s="682" t="s">
        <v>587</v>
      </c>
      <c r="N147" s="682"/>
      <c r="O147" s="682" t="s">
        <v>562</v>
      </c>
      <c r="P147" s="665"/>
      <c r="Q147" s="1224">
        <f t="shared" ref="Q147:Q149" si="192">R147/16</f>
        <v>6.25E-2</v>
      </c>
      <c r="R147" s="1225">
        <f t="shared" ref="R147:R149" si="193">S147+(T147*2)</f>
        <v>1</v>
      </c>
      <c r="S147" s="951">
        <f t="shared" ref="S147:S149" si="194">COUNTIF(U147:AB147, "M")</f>
        <v>1</v>
      </c>
      <c r="T147" s="946">
        <f t="shared" ref="T147:T149" si="195">COUNTIF(U147:AB147, "H")</f>
        <v>0</v>
      </c>
      <c r="U147" s="682"/>
      <c r="V147" s="650"/>
      <c r="W147" s="682"/>
      <c r="X147" s="682"/>
      <c r="Y147" s="650"/>
      <c r="Z147" s="682"/>
      <c r="AA147" s="1265"/>
      <c r="AB147" s="682" t="s">
        <v>587</v>
      </c>
      <c r="AC147" s="1244"/>
      <c r="AD147" s="1244"/>
      <c r="AE147" s="946">
        <f t="shared" ref="AE147:AE149" si="196">COUNTIF(AG147:AL147, "M")</f>
        <v>0</v>
      </c>
      <c r="AF147" s="946">
        <f t="shared" ref="AF147:AF149" si="197">COUNTIF(AG147:AL147, "H")</f>
        <v>0</v>
      </c>
      <c r="AG147" s="682"/>
      <c r="AH147" s="664"/>
      <c r="AI147" s="664"/>
      <c r="AJ147" s="804"/>
      <c r="AK147" s="1266"/>
      <c r="AL147" s="1267"/>
      <c r="AM147" s="1224">
        <f t="shared" ref="AM147:AM149" si="198">AN147/14</f>
        <v>7.1428571428571425E-2</v>
      </c>
      <c r="AN147" s="1225">
        <f t="shared" ref="AN147:AN149" si="199">AO147+(AP147*2)</f>
        <v>1</v>
      </c>
      <c r="AO147" s="946">
        <f>COUNTIF(AQ147:AW147, "M")</f>
        <v>1</v>
      </c>
      <c r="AP147" s="946">
        <f>COUNTIF(AQ147:AW147, "H")</f>
        <v>0</v>
      </c>
      <c r="AQ147" s="664" t="s">
        <v>587</v>
      </c>
      <c r="AR147" s="664"/>
      <c r="AS147" s="664"/>
      <c r="AT147" s="664"/>
      <c r="AU147" s="804"/>
      <c r="AV147" s="664"/>
      <c r="AW147" s="804"/>
      <c r="AX147" s="1224">
        <f t="shared" ref="AX147:AX149" si="200">AY147/10</f>
        <v>0.2</v>
      </c>
      <c r="AY147" s="1225">
        <f t="shared" ref="AY147:AY149" si="201">AZ147+(BA147*2)</f>
        <v>2</v>
      </c>
      <c r="AZ147" s="946">
        <f t="shared" ref="AZ147:AZ160" si="202">COUNTIF(BB147:BF147, "M")</f>
        <v>0</v>
      </c>
      <c r="BA147" s="946">
        <f t="shared" ref="BA147:BA160" si="203">COUNTIF(BB147:BF147, "H")</f>
        <v>1</v>
      </c>
      <c r="BB147" s="650" t="s">
        <v>562</v>
      </c>
      <c r="BC147" s="682"/>
      <c r="BD147" s="650"/>
      <c r="BE147" s="664"/>
      <c r="BF147" s="665"/>
      <c r="BI147" s="1268"/>
      <c r="BJ147" s="500" t="s">
        <v>867</v>
      </c>
      <c r="BK147" s="539"/>
      <c r="BL147" s="568"/>
      <c r="BM147" s="1269"/>
    </row>
    <row r="148" spans="1:65" s="953" customFormat="1" ht="25.5">
      <c r="A148" s="1485"/>
      <c r="B148" s="331" t="s">
        <v>996</v>
      </c>
      <c r="C148" s="425"/>
      <c r="D148" s="1207">
        <f t="shared" si="184"/>
        <v>9</v>
      </c>
      <c r="E148" s="1207">
        <f t="shared" si="185"/>
        <v>5</v>
      </c>
      <c r="F148" s="1207">
        <f t="shared" si="186"/>
        <v>4</v>
      </c>
      <c r="G148" s="1263">
        <f t="shared" si="187"/>
        <v>5</v>
      </c>
      <c r="H148" s="1263">
        <f t="shared" si="187"/>
        <v>2</v>
      </c>
      <c r="I148" s="1224">
        <f t="shared" si="188"/>
        <v>0.625</v>
      </c>
      <c r="J148" s="1225">
        <f t="shared" si="189"/>
        <v>5</v>
      </c>
      <c r="K148" s="946">
        <f t="shared" si="190"/>
        <v>1</v>
      </c>
      <c r="L148" s="1264">
        <f t="shared" si="191"/>
        <v>2</v>
      </c>
      <c r="M148" s="682" t="s">
        <v>587</v>
      </c>
      <c r="N148" s="682" t="s">
        <v>562</v>
      </c>
      <c r="O148" s="682" t="s">
        <v>562</v>
      </c>
      <c r="P148" s="665"/>
      <c r="Q148" s="1224">
        <f t="shared" si="192"/>
        <v>6.25E-2</v>
      </c>
      <c r="R148" s="1225">
        <f t="shared" si="193"/>
        <v>1</v>
      </c>
      <c r="S148" s="951">
        <f t="shared" si="194"/>
        <v>1</v>
      </c>
      <c r="T148" s="946">
        <f t="shared" si="195"/>
        <v>0</v>
      </c>
      <c r="U148" s="682" t="s">
        <v>587</v>
      </c>
      <c r="V148" s="650"/>
      <c r="W148" s="682"/>
      <c r="X148" s="682"/>
      <c r="Y148" s="650"/>
      <c r="Z148" s="682"/>
      <c r="AA148" s="1265"/>
      <c r="AB148" s="682"/>
      <c r="AC148" s="1244"/>
      <c r="AD148" s="1244"/>
      <c r="AE148" s="946">
        <f t="shared" si="196"/>
        <v>0</v>
      </c>
      <c r="AF148" s="946">
        <f t="shared" si="197"/>
        <v>0</v>
      </c>
      <c r="AG148" s="682"/>
      <c r="AH148" s="664"/>
      <c r="AI148" s="664"/>
      <c r="AJ148" s="804"/>
      <c r="AK148" s="1266"/>
      <c r="AL148" s="1267"/>
      <c r="AM148" s="1224">
        <f t="shared" si="198"/>
        <v>7.1428571428571425E-2</v>
      </c>
      <c r="AN148" s="1225">
        <f t="shared" si="199"/>
        <v>1</v>
      </c>
      <c r="AO148" s="946">
        <f>COUNTIF(AQ148:AW148, "M")</f>
        <v>1</v>
      </c>
      <c r="AP148" s="946">
        <f>COUNTIF(AQ148:AW148, "H")</f>
        <v>0</v>
      </c>
      <c r="AQ148" s="664" t="s">
        <v>587</v>
      </c>
      <c r="AR148" s="664"/>
      <c r="AS148" s="664"/>
      <c r="AT148" s="664"/>
      <c r="AU148" s="804"/>
      <c r="AV148" s="664"/>
      <c r="AW148" s="804"/>
      <c r="AX148" s="1224">
        <f t="shared" si="200"/>
        <v>0.2</v>
      </c>
      <c r="AY148" s="1225">
        <f t="shared" si="201"/>
        <v>2</v>
      </c>
      <c r="AZ148" s="946">
        <f t="shared" si="202"/>
        <v>2</v>
      </c>
      <c r="BA148" s="946">
        <f t="shared" si="203"/>
        <v>0</v>
      </c>
      <c r="BB148" s="650"/>
      <c r="BC148" s="682"/>
      <c r="BD148" s="650"/>
      <c r="BE148" s="664" t="s">
        <v>587</v>
      </c>
      <c r="BF148" s="665" t="s">
        <v>587</v>
      </c>
      <c r="BI148" s="1268"/>
      <c r="BJ148" s="500" t="s">
        <v>1181</v>
      </c>
      <c r="BK148" s="539"/>
      <c r="BL148" s="568"/>
      <c r="BM148" s="1269" t="s">
        <v>1456</v>
      </c>
    </row>
    <row r="149" spans="1:65" s="953" customFormat="1" ht="22.5">
      <c r="A149" s="1485"/>
      <c r="B149" s="338" t="s">
        <v>868</v>
      </c>
      <c r="C149" s="426"/>
      <c r="D149" s="1207">
        <f t="shared" si="184"/>
        <v>10</v>
      </c>
      <c r="E149" s="1207">
        <f t="shared" si="185"/>
        <v>2</v>
      </c>
      <c r="F149" s="1207">
        <f t="shared" si="186"/>
        <v>8</v>
      </c>
      <c r="G149" s="1263">
        <f t="shared" si="187"/>
        <v>2</v>
      </c>
      <c r="H149" s="1263">
        <f t="shared" si="187"/>
        <v>4</v>
      </c>
      <c r="I149" s="1224">
        <f t="shared" si="188"/>
        <v>0.75</v>
      </c>
      <c r="J149" s="1225">
        <f t="shared" si="189"/>
        <v>6</v>
      </c>
      <c r="K149" s="946">
        <f t="shared" si="190"/>
        <v>0</v>
      </c>
      <c r="L149" s="1264">
        <f t="shared" si="191"/>
        <v>3</v>
      </c>
      <c r="M149" s="1309" t="s">
        <v>562</v>
      </c>
      <c r="N149" s="1309" t="s">
        <v>562</v>
      </c>
      <c r="O149" s="1309" t="s">
        <v>562</v>
      </c>
      <c r="P149" s="1310"/>
      <c r="Q149" s="1224">
        <f t="shared" si="192"/>
        <v>0.1875</v>
      </c>
      <c r="R149" s="1225">
        <f t="shared" si="193"/>
        <v>3</v>
      </c>
      <c r="S149" s="951">
        <f t="shared" si="194"/>
        <v>1</v>
      </c>
      <c r="T149" s="946">
        <f t="shared" si="195"/>
        <v>1</v>
      </c>
      <c r="U149" s="1309"/>
      <c r="V149" s="656"/>
      <c r="W149" s="1309" t="s">
        <v>562</v>
      </c>
      <c r="X149" s="1309"/>
      <c r="Y149" s="656" t="s">
        <v>587</v>
      </c>
      <c r="Z149" s="1309"/>
      <c r="AA149" s="1311"/>
      <c r="AB149" s="1309"/>
      <c r="AC149" s="1208"/>
      <c r="AD149" s="1208"/>
      <c r="AE149" s="946">
        <f t="shared" si="196"/>
        <v>0</v>
      </c>
      <c r="AF149" s="946">
        <f t="shared" si="197"/>
        <v>0</v>
      </c>
      <c r="AG149" s="1309"/>
      <c r="AH149" s="809"/>
      <c r="AI149" s="809"/>
      <c r="AJ149" s="810"/>
      <c r="AK149" s="1312"/>
      <c r="AL149" s="1313"/>
      <c r="AM149" s="1224">
        <f t="shared" si="198"/>
        <v>7.1428571428571425E-2</v>
      </c>
      <c r="AN149" s="1225">
        <f t="shared" si="199"/>
        <v>1</v>
      </c>
      <c r="AO149" s="946">
        <f>COUNTIF(AQ149:AW149, "M")</f>
        <v>1</v>
      </c>
      <c r="AP149" s="946">
        <f>COUNTIF(AQ149:AW149, "H")</f>
        <v>0</v>
      </c>
      <c r="AQ149" s="809" t="s">
        <v>587</v>
      </c>
      <c r="AR149" s="809"/>
      <c r="AS149" s="809"/>
      <c r="AT149" s="809"/>
      <c r="AU149" s="810"/>
      <c r="AV149" s="809"/>
      <c r="AW149" s="810"/>
      <c r="AX149" s="1224">
        <f t="shared" si="200"/>
        <v>0</v>
      </c>
      <c r="AY149" s="1225">
        <f t="shared" si="201"/>
        <v>0</v>
      </c>
      <c r="AZ149" s="946">
        <f t="shared" si="202"/>
        <v>0</v>
      </c>
      <c r="BA149" s="946">
        <f t="shared" si="203"/>
        <v>0</v>
      </c>
      <c r="BB149" s="1314"/>
      <c r="BC149" s="687"/>
      <c r="BD149" s="656"/>
      <c r="BE149" s="672"/>
      <c r="BF149" s="673"/>
      <c r="BI149" s="1271"/>
      <c r="BJ149" s="546" t="s">
        <v>1180</v>
      </c>
      <c r="BK149" s="539"/>
      <c r="BL149" s="568"/>
      <c r="BM149" s="1269"/>
    </row>
    <row r="150" spans="1:65" s="953" customFormat="1" ht="12.75">
      <c r="A150" s="946" t="s">
        <v>1589</v>
      </c>
      <c r="B150" s="954"/>
      <c r="C150" s="425"/>
      <c r="D150" s="571"/>
      <c r="E150" s="571"/>
      <c r="F150" s="571"/>
      <c r="G150" s="650"/>
      <c r="H150" s="682"/>
      <c r="I150" s="1315"/>
      <c r="J150" s="1315"/>
      <c r="K150" s="1270"/>
      <c r="L150" s="1270"/>
      <c r="M150" s="682">
        <f>COUNTIF(M147:M149, "M")</f>
        <v>2</v>
      </c>
      <c r="N150" s="682">
        <f t="shared" ref="N150:BF150" si="204">COUNTIF(N147:N149, "M")</f>
        <v>0</v>
      </c>
      <c r="O150" s="682">
        <f t="shared" si="204"/>
        <v>0</v>
      </c>
      <c r="P150" s="665">
        <f t="shared" si="204"/>
        <v>0</v>
      </c>
      <c r="Q150" s="1252"/>
      <c r="R150" s="286"/>
      <c r="S150" s="650"/>
      <c r="T150" s="682"/>
      <c r="U150" s="682">
        <f t="shared" si="204"/>
        <v>1</v>
      </c>
      <c r="V150" s="682">
        <f t="shared" si="204"/>
        <v>0</v>
      </c>
      <c r="W150" s="682">
        <f t="shared" si="204"/>
        <v>0</v>
      </c>
      <c r="X150" s="682">
        <f t="shared" si="204"/>
        <v>0</v>
      </c>
      <c r="Y150" s="682">
        <f t="shared" si="204"/>
        <v>1</v>
      </c>
      <c r="Z150" s="682">
        <f t="shared" si="204"/>
        <v>0</v>
      </c>
      <c r="AA150" s="682">
        <f t="shared" si="204"/>
        <v>0</v>
      </c>
      <c r="AB150" s="682">
        <f t="shared" si="204"/>
        <v>1</v>
      </c>
      <c r="AC150" s="1252"/>
      <c r="AD150" s="1252"/>
      <c r="AE150" s="682"/>
      <c r="AF150" s="682"/>
      <c r="AG150" s="682">
        <f t="shared" si="204"/>
        <v>0</v>
      </c>
      <c r="AH150" s="682">
        <f t="shared" si="204"/>
        <v>0</v>
      </c>
      <c r="AI150" s="682">
        <f t="shared" si="204"/>
        <v>0</v>
      </c>
      <c r="AJ150" s="682">
        <f t="shared" si="204"/>
        <v>0</v>
      </c>
      <c r="AK150" s="682">
        <f t="shared" si="204"/>
        <v>0</v>
      </c>
      <c r="AL150" s="682">
        <f t="shared" si="204"/>
        <v>0</v>
      </c>
      <c r="AM150" s="1252"/>
      <c r="AN150" s="1252"/>
      <c r="AO150" s="682"/>
      <c r="AP150" s="682"/>
      <c r="AQ150" s="682">
        <f t="shared" si="204"/>
        <v>3</v>
      </c>
      <c r="AR150" s="682">
        <f t="shared" si="204"/>
        <v>0</v>
      </c>
      <c r="AS150" s="682">
        <f t="shared" si="204"/>
        <v>0</v>
      </c>
      <c r="AT150" s="682">
        <f t="shared" si="204"/>
        <v>0</v>
      </c>
      <c r="AU150" s="682">
        <f t="shared" si="204"/>
        <v>0</v>
      </c>
      <c r="AV150" s="682">
        <f t="shared" si="204"/>
        <v>0</v>
      </c>
      <c r="AW150" s="682">
        <f t="shared" si="204"/>
        <v>0</v>
      </c>
      <c r="AX150" s="1252"/>
      <c r="AY150" s="1252"/>
      <c r="AZ150" s="682"/>
      <c r="BA150" s="682"/>
      <c r="BB150" s="682">
        <f t="shared" si="204"/>
        <v>0</v>
      </c>
      <c r="BC150" s="682">
        <f t="shared" si="204"/>
        <v>0</v>
      </c>
      <c r="BD150" s="682">
        <f t="shared" si="204"/>
        <v>0</v>
      </c>
      <c r="BE150" s="682">
        <f t="shared" si="204"/>
        <v>1</v>
      </c>
      <c r="BF150" s="682">
        <f t="shared" si="204"/>
        <v>1</v>
      </c>
      <c r="BI150" s="1271"/>
      <c r="BJ150" s="546"/>
      <c r="BK150" s="568"/>
      <c r="BL150" s="568"/>
      <c r="BM150" s="1269"/>
    </row>
    <row r="151" spans="1:65" s="953" customFormat="1" ht="12.75">
      <c r="A151" s="946" t="s">
        <v>1590</v>
      </c>
      <c r="B151" s="954"/>
      <c r="C151" s="425"/>
      <c r="D151" s="571"/>
      <c r="E151" s="571"/>
      <c r="F151" s="571"/>
      <c r="G151" s="650"/>
      <c r="H151" s="682"/>
      <c r="I151" s="1315"/>
      <c r="J151" s="1315"/>
      <c r="K151" s="1270"/>
      <c r="L151" s="1270"/>
      <c r="M151" s="682">
        <f>COUNTIF(M147:M149, "H")</f>
        <v>1</v>
      </c>
      <c r="N151" s="682">
        <f t="shared" ref="N151:BF151" si="205">COUNTIF(N147:N149, "H")</f>
        <v>2</v>
      </c>
      <c r="O151" s="682">
        <f t="shared" si="205"/>
        <v>3</v>
      </c>
      <c r="P151" s="665">
        <f t="shared" si="205"/>
        <v>0</v>
      </c>
      <c r="Q151" s="1252"/>
      <c r="R151" s="286"/>
      <c r="S151" s="650"/>
      <c r="T151" s="682"/>
      <c r="U151" s="682">
        <f t="shared" si="205"/>
        <v>0</v>
      </c>
      <c r="V151" s="682">
        <f t="shared" si="205"/>
        <v>0</v>
      </c>
      <c r="W151" s="682">
        <f t="shared" si="205"/>
        <v>1</v>
      </c>
      <c r="X151" s="682">
        <f t="shared" si="205"/>
        <v>0</v>
      </c>
      <c r="Y151" s="682">
        <f t="shared" si="205"/>
        <v>0</v>
      </c>
      <c r="Z151" s="682">
        <f t="shared" si="205"/>
        <v>0</v>
      </c>
      <c r="AA151" s="682">
        <f t="shared" si="205"/>
        <v>0</v>
      </c>
      <c r="AB151" s="682">
        <f t="shared" si="205"/>
        <v>0</v>
      </c>
      <c r="AC151" s="1252"/>
      <c r="AD151" s="1252"/>
      <c r="AE151" s="682"/>
      <c r="AF151" s="682"/>
      <c r="AG151" s="682">
        <f t="shared" si="205"/>
        <v>0</v>
      </c>
      <c r="AH151" s="682">
        <f t="shared" si="205"/>
        <v>0</v>
      </c>
      <c r="AI151" s="682">
        <f t="shared" si="205"/>
        <v>0</v>
      </c>
      <c r="AJ151" s="682">
        <f t="shared" si="205"/>
        <v>0</v>
      </c>
      <c r="AK151" s="682">
        <f t="shared" si="205"/>
        <v>0</v>
      </c>
      <c r="AL151" s="682">
        <f t="shared" si="205"/>
        <v>0</v>
      </c>
      <c r="AM151" s="1252"/>
      <c r="AN151" s="1252"/>
      <c r="AO151" s="682"/>
      <c r="AP151" s="682"/>
      <c r="AQ151" s="682">
        <f t="shared" si="205"/>
        <v>0</v>
      </c>
      <c r="AR151" s="682">
        <f t="shared" si="205"/>
        <v>0</v>
      </c>
      <c r="AS151" s="682">
        <f t="shared" si="205"/>
        <v>0</v>
      </c>
      <c r="AT151" s="682">
        <f t="shared" si="205"/>
        <v>0</v>
      </c>
      <c r="AU151" s="682">
        <f t="shared" si="205"/>
        <v>0</v>
      </c>
      <c r="AV151" s="682">
        <f t="shared" si="205"/>
        <v>0</v>
      </c>
      <c r="AW151" s="682">
        <f t="shared" si="205"/>
        <v>0</v>
      </c>
      <c r="AX151" s="1252"/>
      <c r="AY151" s="1252"/>
      <c r="AZ151" s="682"/>
      <c r="BA151" s="682"/>
      <c r="BB151" s="682">
        <f t="shared" si="205"/>
        <v>1</v>
      </c>
      <c r="BC151" s="682">
        <f t="shared" si="205"/>
        <v>0</v>
      </c>
      <c r="BD151" s="682">
        <f t="shared" si="205"/>
        <v>0</v>
      </c>
      <c r="BE151" s="682">
        <f t="shared" si="205"/>
        <v>0</v>
      </c>
      <c r="BF151" s="682">
        <f t="shared" si="205"/>
        <v>0</v>
      </c>
      <c r="BI151" s="1271"/>
      <c r="BJ151" s="546"/>
      <c r="BK151" s="568"/>
      <c r="BL151" s="568"/>
      <c r="BM151" s="1269"/>
    </row>
    <row r="152" spans="1:65" s="1010" customFormat="1" ht="38.25">
      <c r="A152" s="1479" t="s">
        <v>869</v>
      </c>
      <c r="B152" s="337" t="s">
        <v>1046</v>
      </c>
      <c r="C152" s="997"/>
      <c r="D152" s="1207">
        <f t="shared" ref="D152:D160" si="206">E152+F152</f>
        <v>17</v>
      </c>
      <c r="E152" s="1207">
        <f t="shared" ref="E152:E160" si="207">G152*1</f>
        <v>5</v>
      </c>
      <c r="F152" s="1207">
        <f t="shared" ref="F152:F160" si="208">H152*2</f>
        <v>12</v>
      </c>
      <c r="G152" s="1300">
        <f t="shared" ref="G152:H160" si="209">SUM(K152+S152+AE152+AO152+AZ152)</f>
        <v>5</v>
      </c>
      <c r="H152" s="1300">
        <f t="shared" si="209"/>
        <v>6</v>
      </c>
      <c r="I152" s="1224">
        <f t="shared" ref="I152:I160" si="210">J152/8</f>
        <v>0.5</v>
      </c>
      <c r="J152" s="1225">
        <f t="shared" ref="J152:J160" si="211">K152+(L152*2)</f>
        <v>4</v>
      </c>
      <c r="K152" s="1000">
        <f t="shared" ref="K152:K160" si="212">COUNTIF(M152:P152, "M")</f>
        <v>0</v>
      </c>
      <c r="L152" s="1301">
        <f t="shared" ref="L152:L160" si="213">COUNTIF(M152:P152, "H")</f>
        <v>2</v>
      </c>
      <c r="M152" s="686" t="s">
        <v>562</v>
      </c>
      <c r="N152" s="686"/>
      <c r="O152" s="686" t="s">
        <v>562</v>
      </c>
      <c r="P152" s="671"/>
      <c r="Q152" s="1224">
        <f t="shared" ref="Q152:Q160" si="214">R152/16</f>
        <v>0.5625</v>
      </c>
      <c r="R152" s="1225">
        <f t="shared" ref="R152:R160" si="215">S152+(T152*2)</f>
        <v>9</v>
      </c>
      <c r="S152" s="1006">
        <f t="shared" ref="S152:S160" si="216">COUNTIF(U152:AB152, "M")</f>
        <v>1</v>
      </c>
      <c r="T152" s="1000">
        <f t="shared" ref="T152:T160" si="217">COUNTIF(U152:AB152, "H")</f>
        <v>4</v>
      </c>
      <c r="U152" s="686" t="s">
        <v>587</v>
      </c>
      <c r="V152" s="655" t="s">
        <v>562</v>
      </c>
      <c r="W152" s="686" t="s">
        <v>562</v>
      </c>
      <c r="X152" s="686"/>
      <c r="Y152" s="655"/>
      <c r="Z152" s="686"/>
      <c r="AA152" s="1302" t="s">
        <v>562</v>
      </c>
      <c r="AB152" s="686" t="s">
        <v>562</v>
      </c>
      <c r="AC152" s="1244"/>
      <c r="AD152" s="1244"/>
      <c r="AE152" s="1000">
        <f t="shared" ref="AE152:AE159" si="218">COUNTIF(AG152:AL152, "M")</f>
        <v>0</v>
      </c>
      <c r="AF152" s="1000">
        <f t="shared" ref="AF152:AF160" si="219">COUNTIF(AG152:AL152, "H")</f>
        <v>0</v>
      </c>
      <c r="AG152" s="686"/>
      <c r="AH152" s="670"/>
      <c r="AI152" s="670"/>
      <c r="AJ152" s="808"/>
      <c r="AK152" s="1303"/>
      <c r="AL152" s="1304"/>
      <c r="AM152" s="1224">
        <f t="shared" ref="AM152:AM160" si="220">AN152/14</f>
        <v>0.14285714285714285</v>
      </c>
      <c r="AN152" s="1225">
        <f t="shared" ref="AN152:AN160" si="221">AO152+(AP152*2)</f>
        <v>2</v>
      </c>
      <c r="AO152" s="1000">
        <f t="shared" ref="AO152:AO160" si="222">COUNTIF(AQ152:AW152, "M")</f>
        <v>2</v>
      </c>
      <c r="AP152" s="1000">
        <f t="shared" ref="AP152:AP160" si="223">COUNTIF(AQ152:AW152, "H")</f>
        <v>0</v>
      </c>
      <c r="AQ152" s="670" t="s">
        <v>587</v>
      </c>
      <c r="AR152" s="670" t="s">
        <v>587</v>
      </c>
      <c r="AS152" s="670"/>
      <c r="AT152" s="670"/>
      <c r="AU152" s="808"/>
      <c r="AV152" s="670"/>
      <c r="AW152" s="808"/>
      <c r="AX152" s="1224">
        <f t="shared" ref="AX152:AX160" si="224">AY152/10</f>
        <v>0.2</v>
      </c>
      <c r="AY152" s="1225">
        <f t="shared" ref="AY152:AY159" si="225">AZ152+(BA152*2)</f>
        <v>2</v>
      </c>
      <c r="AZ152" s="1000">
        <f t="shared" si="202"/>
        <v>2</v>
      </c>
      <c r="BA152" s="1000">
        <f t="shared" si="203"/>
        <v>0</v>
      </c>
      <c r="BB152" s="655"/>
      <c r="BC152" s="686"/>
      <c r="BD152" s="655"/>
      <c r="BE152" s="670" t="s">
        <v>587</v>
      </c>
      <c r="BF152" s="671" t="s">
        <v>587</v>
      </c>
      <c r="BI152" s="1305"/>
      <c r="BJ152" s="502" t="s">
        <v>1179</v>
      </c>
      <c r="BK152" s="593"/>
      <c r="BL152" s="1009"/>
      <c r="BM152" s="1306"/>
    </row>
    <row r="153" spans="1:65" s="1010" customFormat="1" ht="25.5">
      <c r="A153" s="1479"/>
      <c r="B153" s="1001" t="s">
        <v>551</v>
      </c>
      <c r="C153" s="1316"/>
      <c r="D153" s="1207">
        <f t="shared" si="206"/>
        <v>10</v>
      </c>
      <c r="E153" s="1207">
        <f t="shared" si="207"/>
        <v>4</v>
      </c>
      <c r="F153" s="1207">
        <f t="shared" si="208"/>
        <v>6</v>
      </c>
      <c r="G153" s="1300">
        <f t="shared" si="209"/>
        <v>4</v>
      </c>
      <c r="H153" s="1300">
        <f t="shared" si="209"/>
        <v>3</v>
      </c>
      <c r="I153" s="1224">
        <f t="shared" si="210"/>
        <v>0.125</v>
      </c>
      <c r="J153" s="1225">
        <f t="shared" si="211"/>
        <v>1</v>
      </c>
      <c r="K153" s="1000">
        <f t="shared" si="212"/>
        <v>1</v>
      </c>
      <c r="L153" s="1301">
        <f t="shared" si="213"/>
        <v>0</v>
      </c>
      <c r="M153" s="1317"/>
      <c r="N153" s="1317"/>
      <c r="O153" s="1317" t="s">
        <v>587</v>
      </c>
      <c r="P153" s="1318"/>
      <c r="Q153" s="1224">
        <f t="shared" si="214"/>
        <v>0.375</v>
      </c>
      <c r="R153" s="1225">
        <f t="shared" si="215"/>
        <v>6</v>
      </c>
      <c r="S153" s="1006">
        <f t="shared" si="216"/>
        <v>2</v>
      </c>
      <c r="T153" s="1000">
        <f t="shared" si="217"/>
        <v>2</v>
      </c>
      <c r="U153" s="1317" t="s">
        <v>587</v>
      </c>
      <c r="V153" s="1319"/>
      <c r="W153" s="1317" t="s">
        <v>562</v>
      </c>
      <c r="X153" s="1317"/>
      <c r="Y153" s="1319"/>
      <c r="Z153" s="1317"/>
      <c r="AA153" s="1320" t="s">
        <v>562</v>
      </c>
      <c r="AB153" s="1317" t="s">
        <v>587</v>
      </c>
      <c r="AC153" s="1208"/>
      <c r="AD153" s="1208"/>
      <c r="AE153" s="1000">
        <f t="shared" si="218"/>
        <v>0</v>
      </c>
      <c r="AF153" s="1000">
        <f t="shared" si="219"/>
        <v>0</v>
      </c>
      <c r="AG153" s="1317"/>
      <c r="AH153" s="721"/>
      <c r="AI153" s="721"/>
      <c r="AJ153" s="1321"/>
      <c r="AK153" s="1322"/>
      <c r="AL153" s="1323"/>
      <c r="AM153" s="1224">
        <f t="shared" si="220"/>
        <v>0</v>
      </c>
      <c r="AN153" s="1225">
        <f t="shared" si="221"/>
        <v>0</v>
      </c>
      <c r="AO153" s="1000">
        <f t="shared" si="222"/>
        <v>0</v>
      </c>
      <c r="AP153" s="1000">
        <f t="shared" si="223"/>
        <v>0</v>
      </c>
      <c r="AQ153" s="721"/>
      <c r="AR153" s="721"/>
      <c r="AS153" s="721"/>
      <c r="AT153" s="721"/>
      <c r="AU153" s="1321"/>
      <c r="AV153" s="721"/>
      <c r="AW153" s="1321"/>
      <c r="AX153" s="1224">
        <f t="shared" si="224"/>
        <v>0.3</v>
      </c>
      <c r="AY153" s="1225">
        <f t="shared" si="225"/>
        <v>3</v>
      </c>
      <c r="AZ153" s="1000">
        <f t="shared" si="202"/>
        <v>1</v>
      </c>
      <c r="BA153" s="1000">
        <f t="shared" si="203"/>
        <v>1</v>
      </c>
      <c r="BB153" s="1324"/>
      <c r="BC153" s="1325"/>
      <c r="BD153" s="1319"/>
      <c r="BE153" s="1326" t="s">
        <v>587</v>
      </c>
      <c r="BF153" s="1327" t="s">
        <v>562</v>
      </c>
      <c r="BI153" s="1308"/>
      <c r="BJ153" s="547" t="s">
        <v>1178</v>
      </c>
      <c r="BK153" s="1009"/>
      <c r="BL153" s="1009"/>
      <c r="BM153" s="1306"/>
    </row>
    <row r="154" spans="1:65" s="1010" customFormat="1" ht="25.5">
      <c r="A154" s="1479"/>
      <c r="B154" s="1001" t="s">
        <v>1052</v>
      </c>
      <c r="C154" s="1316"/>
      <c r="D154" s="1207">
        <f t="shared" si="206"/>
        <v>13</v>
      </c>
      <c r="E154" s="1207">
        <f t="shared" si="207"/>
        <v>3</v>
      </c>
      <c r="F154" s="1207">
        <f t="shared" si="208"/>
        <v>10</v>
      </c>
      <c r="G154" s="1300">
        <f t="shared" si="209"/>
        <v>3</v>
      </c>
      <c r="H154" s="1300">
        <f t="shared" si="209"/>
        <v>5</v>
      </c>
      <c r="I154" s="1224">
        <f t="shared" si="210"/>
        <v>0.25</v>
      </c>
      <c r="J154" s="1225">
        <f t="shared" si="211"/>
        <v>2</v>
      </c>
      <c r="K154" s="1000">
        <f t="shared" si="212"/>
        <v>0</v>
      </c>
      <c r="L154" s="1301">
        <f t="shared" si="213"/>
        <v>1</v>
      </c>
      <c r="M154" s="1317"/>
      <c r="N154" s="1317"/>
      <c r="O154" s="1317" t="s">
        <v>562</v>
      </c>
      <c r="P154" s="1318"/>
      <c r="Q154" s="1224">
        <f t="shared" si="214"/>
        <v>0.375</v>
      </c>
      <c r="R154" s="1225">
        <f t="shared" si="215"/>
        <v>6</v>
      </c>
      <c r="S154" s="1006">
        <f t="shared" si="216"/>
        <v>2</v>
      </c>
      <c r="T154" s="1000">
        <f t="shared" si="217"/>
        <v>2</v>
      </c>
      <c r="U154" s="1317"/>
      <c r="V154" s="1319" t="s">
        <v>562</v>
      </c>
      <c r="W154" s="1317" t="s">
        <v>562</v>
      </c>
      <c r="X154" s="1317"/>
      <c r="Y154" s="1319" t="s">
        <v>587</v>
      </c>
      <c r="Z154" s="1317"/>
      <c r="AA154" s="1320"/>
      <c r="AB154" s="1317" t="s">
        <v>587</v>
      </c>
      <c r="AC154" s="1208"/>
      <c r="AD154" s="1208"/>
      <c r="AE154" s="1000">
        <f t="shared" si="218"/>
        <v>0</v>
      </c>
      <c r="AF154" s="1000">
        <f t="shared" si="219"/>
        <v>0</v>
      </c>
      <c r="AG154" s="1317"/>
      <c r="AH154" s="721"/>
      <c r="AI154" s="721"/>
      <c r="AJ154" s="1321"/>
      <c r="AK154" s="1322"/>
      <c r="AL154" s="1323"/>
      <c r="AM154" s="1224">
        <f t="shared" si="220"/>
        <v>7.1428571428571425E-2</v>
      </c>
      <c r="AN154" s="1225">
        <f t="shared" si="221"/>
        <v>1</v>
      </c>
      <c r="AO154" s="1000">
        <f t="shared" si="222"/>
        <v>1</v>
      </c>
      <c r="AP154" s="1000">
        <f t="shared" si="223"/>
        <v>0</v>
      </c>
      <c r="AQ154" s="721" t="s">
        <v>587</v>
      </c>
      <c r="AR154" s="721"/>
      <c r="AS154" s="721"/>
      <c r="AT154" s="721"/>
      <c r="AU154" s="1321"/>
      <c r="AV154" s="721"/>
      <c r="AW154" s="1321"/>
      <c r="AX154" s="1224">
        <f t="shared" si="224"/>
        <v>0.4</v>
      </c>
      <c r="AY154" s="1225">
        <f t="shared" si="225"/>
        <v>4</v>
      </c>
      <c r="AZ154" s="1000">
        <f t="shared" si="202"/>
        <v>0</v>
      </c>
      <c r="BA154" s="1000">
        <f t="shared" si="203"/>
        <v>2</v>
      </c>
      <c r="BB154" s="1324"/>
      <c r="BC154" s="1325"/>
      <c r="BD154" s="1319"/>
      <c r="BE154" s="1326" t="s">
        <v>562</v>
      </c>
      <c r="BF154" s="1327" t="s">
        <v>562</v>
      </c>
      <c r="BI154" s="1308"/>
      <c r="BJ154" s="547" t="s">
        <v>1177</v>
      </c>
      <c r="BK154" s="1009"/>
      <c r="BL154" s="1009"/>
      <c r="BM154" s="1306"/>
    </row>
    <row r="155" spans="1:65" s="1010" customFormat="1" ht="22.5">
      <c r="A155" s="1479"/>
      <c r="B155" s="337" t="s">
        <v>553</v>
      </c>
      <c r="C155" s="997"/>
      <c r="D155" s="1207">
        <f t="shared" si="206"/>
        <v>13</v>
      </c>
      <c r="E155" s="1207">
        <f t="shared" si="207"/>
        <v>5</v>
      </c>
      <c r="F155" s="1207">
        <f t="shared" si="208"/>
        <v>8</v>
      </c>
      <c r="G155" s="1300">
        <f t="shared" si="209"/>
        <v>5</v>
      </c>
      <c r="H155" s="1300">
        <f t="shared" si="209"/>
        <v>4</v>
      </c>
      <c r="I155" s="1224">
        <f t="shared" si="210"/>
        <v>0.25</v>
      </c>
      <c r="J155" s="1225">
        <f t="shared" si="211"/>
        <v>2</v>
      </c>
      <c r="K155" s="1000">
        <f t="shared" si="212"/>
        <v>2</v>
      </c>
      <c r="L155" s="1301">
        <f t="shared" si="213"/>
        <v>0</v>
      </c>
      <c r="M155" s="686" t="s">
        <v>587</v>
      </c>
      <c r="N155" s="686"/>
      <c r="O155" s="686" t="s">
        <v>587</v>
      </c>
      <c r="P155" s="671"/>
      <c r="Q155" s="1224">
        <f t="shared" si="214"/>
        <v>0.4375</v>
      </c>
      <c r="R155" s="1225">
        <f t="shared" si="215"/>
        <v>7</v>
      </c>
      <c r="S155" s="1006">
        <f t="shared" si="216"/>
        <v>3</v>
      </c>
      <c r="T155" s="1000">
        <f t="shared" si="217"/>
        <v>2</v>
      </c>
      <c r="U155" s="686" t="s">
        <v>587</v>
      </c>
      <c r="V155" s="655" t="s">
        <v>587</v>
      </c>
      <c r="W155" s="686" t="s">
        <v>562</v>
      </c>
      <c r="X155" s="686"/>
      <c r="Y155" s="655" t="s">
        <v>587</v>
      </c>
      <c r="Z155" s="686"/>
      <c r="AA155" s="1302"/>
      <c r="AB155" s="686" t="s">
        <v>562</v>
      </c>
      <c r="AC155" s="1244"/>
      <c r="AD155" s="1244"/>
      <c r="AE155" s="1000">
        <f t="shared" si="218"/>
        <v>0</v>
      </c>
      <c r="AF155" s="1000">
        <f t="shared" si="219"/>
        <v>0</v>
      </c>
      <c r="AG155" s="686"/>
      <c r="AH155" s="670"/>
      <c r="AI155" s="670"/>
      <c r="AJ155" s="808"/>
      <c r="AK155" s="1303"/>
      <c r="AL155" s="1304"/>
      <c r="AM155" s="1224">
        <f t="shared" si="220"/>
        <v>0</v>
      </c>
      <c r="AN155" s="1225">
        <f t="shared" si="221"/>
        <v>0</v>
      </c>
      <c r="AO155" s="1000">
        <f t="shared" si="222"/>
        <v>0</v>
      </c>
      <c r="AP155" s="1000">
        <f t="shared" si="223"/>
        <v>0</v>
      </c>
      <c r="AQ155" s="670"/>
      <c r="AR155" s="670"/>
      <c r="AS155" s="670"/>
      <c r="AT155" s="670"/>
      <c r="AU155" s="808"/>
      <c r="AV155" s="670"/>
      <c r="AW155" s="808"/>
      <c r="AX155" s="1224">
        <f t="shared" si="224"/>
        <v>0.4</v>
      </c>
      <c r="AY155" s="1225">
        <f t="shared" si="225"/>
        <v>4</v>
      </c>
      <c r="AZ155" s="1000">
        <f t="shared" si="202"/>
        <v>0</v>
      </c>
      <c r="BA155" s="1000">
        <f t="shared" si="203"/>
        <v>2</v>
      </c>
      <c r="BB155" s="655"/>
      <c r="BC155" s="686"/>
      <c r="BD155" s="655"/>
      <c r="BE155" s="670" t="s">
        <v>562</v>
      </c>
      <c r="BF155" s="671" t="s">
        <v>562</v>
      </c>
      <c r="BI155" s="1328" t="s">
        <v>554</v>
      </c>
      <c r="BJ155" s="1329" t="s">
        <v>1176</v>
      </c>
      <c r="BK155" s="593"/>
      <c r="BL155" s="1009"/>
      <c r="BM155" s="1306"/>
    </row>
    <row r="156" spans="1:65" s="1010" customFormat="1" ht="25.5">
      <c r="A156" s="1479"/>
      <c r="B156" s="337" t="s">
        <v>555</v>
      </c>
      <c r="C156" s="997"/>
      <c r="D156" s="1207">
        <f t="shared" si="206"/>
        <v>14</v>
      </c>
      <c r="E156" s="1207">
        <f t="shared" si="207"/>
        <v>6</v>
      </c>
      <c r="F156" s="1207">
        <f t="shared" si="208"/>
        <v>8</v>
      </c>
      <c r="G156" s="1300">
        <f t="shared" si="209"/>
        <v>6</v>
      </c>
      <c r="H156" s="1300">
        <f t="shared" si="209"/>
        <v>4</v>
      </c>
      <c r="I156" s="1224">
        <f t="shared" si="210"/>
        <v>0.25</v>
      </c>
      <c r="J156" s="1225">
        <f t="shared" si="211"/>
        <v>2</v>
      </c>
      <c r="K156" s="1000">
        <f t="shared" si="212"/>
        <v>2</v>
      </c>
      <c r="L156" s="1301">
        <f t="shared" si="213"/>
        <v>0</v>
      </c>
      <c r="M156" s="686" t="s">
        <v>587</v>
      </c>
      <c r="N156" s="686"/>
      <c r="O156" s="686" t="s">
        <v>587</v>
      </c>
      <c r="P156" s="671"/>
      <c r="Q156" s="1224">
        <f t="shared" si="214"/>
        <v>0.5</v>
      </c>
      <c r="R156" s="1225">
        <f t="shared" si="215"/>
        <v>8</v>
      </c>
      <c r="S156" s="1006">
        <f t="shared" si="216"/>
        <v>2</v>
      </c>
      <c r="T156" s="1000">
        <f t="shared" si="217"/>
        <v>3</v>
      </c>
      <c r="U156" s="686" t="s">
        <v>587</v>
      </c>
      <c r="V156" s="655" t="s">
        <v>562</v>
      </c>
      <c r="W156" s="686" t="s">
        <v>587</v>
      </c>
      <c r="X156" s="686"/>
      <c r="Y156" s="655" t="s">
        <v>562</v>
      </c>
      <c r="Z156" s="686"/>
      <c r="AA156" s="1302"/>
      <c r="AB156" s="686" t="s">
        <v>562</v>
      </c>
      <c r="AC156" s="1244"/>
      <c r="AD156" s="1244"/>
      <c r="AE156" s="1000">
        <f t="shared" si="218"/>
        <v>0</v>
      </c>
      <c r="AF156" s="1000">
        <f t="shared" si="219"/>
        <v>0</v>
      </c>
      <c r="AG156" s="686"/>
      <c r="AH156" s="670"/>
      <c r="AI156" s="670"/>
      <c r="AJ156" s="808"/>
      <c r="AK156" s="1303"/>
      <c r="AL156" s="1304"/>
      <c r="AM156" s="1224">
        <f t="shared" si="220"/>
        <v>0.14285714285714285</v>
      </c>
      <c r="AN156" s="1225">
        <f t="shared" si="221"/>
        <v>2</v>
      </c>
      <c r="AO156" s="1000">
        <f t="shared" si="222"/>
        <v>0</v>
      </c>
      <c r="AP156" s="1000">
        <f t="shared" si="223"/>
        <v>1</v>
      </c>
      <c r="AQ156" s="670"/>
      <c r="AR156" s="670" t="s">
        <v>562</v>
      </c>
      <c r="AS156" s="670"/>
      <c r="AT156" s="670"/>
      <c r="AU156" s="808"/>
      <c r="AV156" s="670"/>
      <c r="AW156" s="808"/>
      <c r="AX156" s="1224">
        <f t="shared" si="224"/>
        <v>0.2</v>
      </c>
      <c r="AY156" s="1225">
        <f t="shared" si="225"/>
        <v>2</v>
      </c>
      <c r="AZ156" s="1000">
        <f t="shared" si="202"/>
        <v>2</v>
      </c>
      <c r="BA156" s="1000">
        <f t="shared" si="203"/>
        <v>0</v>
      </c>
      <c r="BB156" s="655"/>
      <c r="BC156" s="686"/>
      <c r="BD156" s="655"/>
      <c r="BE156" s="670" t="s">
        <v>587</v>
      </c>
      <c r="BF156" s="671" t="s">
        <v>587</v>
      </c>
      <c r="BI156" s="1305"/>
      <c r="BJ156" s="502" t="s">
        <v>582</v>
      </c>
      <c r="BK156" s="593"/>
      <c r="BL156" s="1009"/>
      <c r="BM156" s="1306"/>
    </row>
    <row r="157" spans="1:65" s="1010" customFormat="1" ht="38.25">
      <c r="A157" s="1479"/>
      <c r="B157" s="337" t="s">
        <v>1028</v>
      </c>
      <c r="C157" s="997"/>
      <c r="D157" s="1207">
        <f t="shared" si="206"/>
        <v>10</v>
      </c>
      <c r="E157" s="1207">
        <f t="shared" si="207"/>
        <v>8</v>
      </c>
      <c r="F157" s="1207">
        <f t="shared" si="208"/>
        <v>2</v>
      </c>
      <c r="G157" s="1300">
        <f t="shared" si="209"/>
        <v>8</v>
      </c>
      <c r="H157" s="1300">
        <f t="shared" si="209"/>
        <v>1</v>
      </c>
      <c r="I157" s="1224">
        <f t="shared" si="210"/>
        <v>0.25</v>
      </c>
      <c r="J157" s="1225">
        <f t="shared" si="211"/>
        <v>2</v>
      </c>
      <c r="K157" s="1000">
        <f t="shared" si="212"/>
        <v>2</v>
      </c>
      <c r="L157" s="1301">
        <f t="shared" si="213"/>
        <v>0</v>
      </c>
      <c r="M157" s="686" t="s">
        <v>587</v>
      </c>
      <c r="N157" s="686"/>
      <c r="O157" s="686" t="s">
        <v>587</v>
      </c>
      <c r="P157" s="671"/>
      <c r="Q157" s="1224">
        <f t="shared" si="214"/>
        <v>0.3125</v>
      </c>
      <c r="R157" s="1225">
        <f t="shared" si="215"/>
        <v>5</v>
      </c>
      <c r="S157" s="1006">
        <f t="shared" si="216"/>
        <v>3</v>
      </c>
      <c r="T157" s="1000">
        <f t="shared" si="217"/>
        <v>1</v>
      </c>
      <c r="U157" s="686" t="s">
        <v>587</v>
      </c>
      <c r="V157" s="655" t="s">
        <v>562</v>
      </c>
      <c r="W157" s="686"/>
      <c r="X157" s="686"/>
      <c r="Y157" s="655" t="s">
        <v>587</v>
      </c>
      <c r="Z157" s="686"/>
      <c r="AA157" s="1302"/>
      <c r="AB157" s="686" t="s">
        <v>587</v>
      </c>
      <c r="AC157" s="1244"/>
      <c r="AD157" s="1244"/>
      <c r="AE157" s="1000">
        <f t="shared" si="218"/>
        <v>0</v>
      </c>
      <c r="AF157" s="1000">
        <f t="shared" si="219"/>
        <v>0</v>
      </c>
      <c r="AG157" s="1317"/>
      <c r="AH157" s="670"/>
      <c r="AI157" s="670"/>
      <c r="AJ157" s="808"/>
      <c r="AK157" s="1303"/>
      <c r="AL157" s="1304"/>
      <c r="AM157" s="1224">
        <f t="shared" si="220"/>
        <v>7.1428571428571425E-2</v>
      </c>
      <c r="AN157" s="1225">
        <f t="shared" si="221"/>
        <v>1</v>
      </c>
      <c r="AO157" s="1000">
        <f t="shared" si="222"/>
        <v>1</v>
      </c>
      <c r="AP157" s="1000">
        <f t="shared" si="223"/>
        <v>0</v>
      </c>
      <c r="AQ157" s="670"/>
      <c r="AR157" s="670" t="s">
        <v>587</v>
      </c>
      <c r="AS157" s="670"/>
      <c r="AT157" s="670"/>
      <c r="AU157" s="808"/>
      <c r="AV157" s="670"/>
      <c r="AW157" s="808"/>
      <c r="AX157" s="1224">
        <f t="shared" si="224"/>
        <v>0.2</v>
      </c>
      <c r="AY157" s="1225">
        <f t="shared" si="225"/>
        <v>2</v>
      </c>
      <c r="AZ157" s="1000">
        <f t="shared" si="202"/>
        <v>2</v>
      </c>
      <c r="BA157" s="1000">
        <f t="shared" si="203"/>
        <v>0</v>
      </c>
      <c r="BB157" s="655"/>
      <c r="BC157" s="686"/>
      <c r="BD157" s="655"/>
      <c r="BE157" s="670" t="s">
        <v>587</v>
      </c>
      <c r="BF157" s="671" t="s">
        <v>587</v>
      </c>
      <c r="BI157" s="1305"/>
      <c r="BJ157" s="502" t="s">
        <v>1424</v>
      </c>
      <c r="BK157" s="593"/>
      <c r="BL157" s="1009"/>
      <c r="BM157" s="1306"/>
    </row>
    <row r="158" spans="1:65" s="1010" customFormat="1" ht="12.75">
      <c r="A158" s="1479"/>
      <c r="B158" s="337" t="s">
        <v>1051</v>
      </c>
      <c r="C158" s="997"/>
      <c r="D158" s="1207">
        <f t="shared" si="206"/>
        <v>6</v>
      </c>
      <c r="E158" s="1207">
        <f t="shared" si="207"/>
        <v>2</v>
      </c>
      <c r="F158" s="1207">
        <f t="shared" si="208"/>
        <v>4</v>
      </c>
      <c r="G158" s="1300">
        <f t="shared" si="209"/>
        <v>2</v>
      </c>
      <c r="H158" s="1300">
        <f t="shared" si="209"/>
        <v>2</v>
      </c>
      <c r="I158" s="1224">
        <f t="shared" si="210"/>
        <v>0.125</v>
      </c>
      <c r="J158" s="1225">
        <f t="shared" si="211"/>
        <v>1</v>
      </c>
      <c r="K158" s="1000">
        <f t="shared" si="212"/>
        <v>1</v>
      </c>
      <c r="L158" s="1301">
        <f t="shared" si="213"/>
        <v>0</v>
      </c>
      <c r="M158" s="686"/>
      <c r="N158" s="686"/>
      <c r="O158" s="686" t="s">
        <v>587</v>
      </c>
      <c r="P158" s="671"/>
      <c r="Q158" s="1224">
        <f t="shared" si="214"/>
        <v>6.25E-2</v>
      </c>
      <c r="R158" s="1225">
        <f t="shared" si="215"/>
        <v>1</v>
      </c>
      <c r="S158" s="1006">
        <f t="shared" si="216"/>
        <v>1</v>
      </c>
      <c r="T158" s="1000">
        <f t="shared" si="217"/>
        <v>0</v>
      </c>
      <c r="U158" s="686"/>
      <c r="V158" s="655"/>
      <c r="W158" s="686"/>
      <c r="X158" s="686"/>
      <c r="Y158" s="655"/>
      <c r="Z158" s="686"/>
      <c r="AA158" s="1302"/>
      <c r="AB158" s="686" t="s">
        <v>587</v>
      </c>
      <c r="AC158" s="1244"/>
      <c r="AD158" s="1244"/>
      <c r="AE158" s="1000">
        <f t="shared" si="218"/>
        <v>0</v>
      </c>
      <c r="AF158" s="1000">
        <f t="shared" si="219"/>
        <v>0</v>
      </c>
      <c r="AG158" s="1317"/>
      <c r="AH158" s="670"/>
      <c r="AI158" s="670"/>
      <c r="AJ158" s="808"/>
      <c r="AK158" s="1303"/>
      <c r="AL158" s="1304"/>
      <c r="AM158" s="1224">
        <f t="shared" si="220"/>
        <v>0</v>
      </c>
      <c r="AN158" s="1225">
        <f t="shared" si="221"/>
        <v>0</v>
      </c>
      <c r="AO158" s="1000">
        <f t="shared" si="222"/>
        <v>0</v>
      </c>
      <c r="AP158" s="1000">
        <f t="shared" si="223"/>
        <v>0</v>
      </c>
      <c r="AQ158" s="670"/>
      <c r="AR158" s="670"/>
      <c r="AS158" s="670"/>
      <c r="AT158" s="670"/>
      <c r="AU158" s="808"/>
      <c r="AV158" s="670"/>
      <c r="AW158" s="808"/>
      <c r="AX158" s="1224">
        <f t="shared" si="224"/>
        <v>0.4</v>
      </c>
      <c r="AY158" s="1225">
        <f t="shared" si="225"/>
        <v>4</v>
      </c>
      <c r="AZ158" s="1000">
        <f t="shared" si="202"/>
        <v>0</v>
      </c>
      <c r="BA158" s="1000">
        <f t="shared" si="203"/>
        <v>2</v>
      </c>
      <c r="BB158" s="655"/>
      <c r="BC158" s="686"/>
      <c r="BD158" s="655"/>
      <c r="BE158" s="670" t="s">
        <v>562</v>
      </c>
      <c r="BF158" s="671" t="s">
        <v>562</v>
      </c>
      <c r="BI158" s="1305"/>
      <c r="BJ158" s="502" t="s">
        <v>1175</v>
      </c>
      <c r="BK158" s="593"/>
      <c r="BL158" s="1009"/>
      <c r="BM158" s="1306"/>
    </row>
    <row r="159" spans="1:65" s="1010" customFormat="1" ht="25.5">
      <c r="A159" s="1479"/>
      <c r="B159" s="337" t="s">
        <v>1338</v>
      </c>
      <c r="C159" s="997"/>
      <c r="D159" s="1207">
        <f t="shared" si="206"/>
        <v>15</v>
      </c>
      <c r="E159" s="1207">
        <f t="shared" si="207"/>
        <v>5</v>
      </c>
      <c r="F159" s="1207">
        <f t="shared" si="208"/>
        <v>10</v>
      </c>
      <c r="G159" s="1300">
        <f t="shared" si="209"/>
        <v>5</v>
      </c>
      <c r="H159" s="1300">
        <f t="shared" si="209"/>
        <v>5</v>
      </c>
      <c r="I159" s="1224">
        <f t="shared" si="210"/>
        <v>0.375</v>
      </c>
      <c r="J159" s="1225">
        <f t="shared" si="211"/>
        <v>3</v>
      </c>
      <c r="K159" s="1000">
        <f t="shared" si="212"/>
        <v>1</v>
      </c>
      <c r="L159" s="1301">
        <f t="shared" si="213"/>
        <v>1</v>
      </c>
      <c r="M159" s="686" t="s">
        <v>562</v>
      </c>
      <c r="N159" s="686"/>
      <c r="O159" s="686" t="s">
        <v>587</v>
      </c>
      <c r="P159" s="671"/>
      <c r="Q159" s="1224">
        <f t="shared" si="214"/>
        <v>0.4375</v>
      </c>
      <c r="R159" s="1225">
        <f t="shared" si="215"/>
        <v>7</v>
      </c>
      <c r="S159" s="1006">
        <f t="shared" si="216"/>
        <v>3</v>
      </c>
      <c r="T159" s="1000">
        <f t="shared" si="217"/>
        <v>2</v>
      </c>
      <c r="U159" s="686" t="s">
        <v>587</v>
      </c>
      <c r="V159" s="655" t="s">
        <v>587</v>
      </c>
      <c r="W159" s="686" t="s">
        <v>562</v>
      </c>
      <c r="X159" s="686"/>
      <c r="Y159" s="655" t="s">
        <v>562</v>
      </c>
      <c r="Z159" s="686"/>
      <c r="AA159" s="1302"/>
      <c r="AB159" s="686" t="s">
        <v>587</v>
      </c>
      <c r="AC159" s="1244"/>
      <c r="AD159" s="1244"/>
      <c r="AE159" s="1000">
        <f t="shared" si="218"/>
        <v>0</v>
      </c>
      <c r="AF159" s="1000">
        <f t="shared" si="219"/>
        <v>0</v>
      </c>
      <c r="AG159" s="1317"/>
      <c r="AH159" s="670"/>
      <c r="AI159" s="670"/>
      <c r="AJ159" s="808"/>
      <c r="AK159" s="1303"/>
      <c r="AL159" s="1304"/>
      <c r="AM159" s="1224">
        <f t="shared" si="220"/>
        <v>0</v>
      </c>
      <c r="AN159" s="1225">
        <f t="shared" si="221"/>
        <v>0</v>
      </c>
      <c r="AO159" s="1000">
        <f t="shared" si="222"/>
        <v>0</v>
      </c>
      <c r="AP159" s="1000">
        <f t="shared" si="223"/>
        <v>0</v>
      </c>
      <c r="AQ159" s="670"/>
      <c r="AR159" s="670"/>
      <c r="AS159" s="670"/>
      <c r="AT159" s="670"/>
      <c r="AU159" s="808"/>
      <c r="AV159" s="670"/>
      <c r="AW159" s="808"/>
      <c r="AX159" s="1224">
        <f t="shared" si="224"/>
        <v>0.5</v>
      </c>
      <c r="AY159" s="1225">
        <f t="shared" si="225"/>
        <v>5</v>
      </c>
      <c r="AZ159" s="1000">
        <f t="shared" si="202"/>
        <v>1</v>
      </c>
      <c r="BA159" s="1000">
        <f t="shared" si="203"/>
        <v>2</v>
      </c>
      <c r="BB159" s="655" t="s">
        <v>562</v>
      </c>
      <c r="BC159" s="686"/>
      <c r="BD159" s="655"/>
      <c r="BE159" s="670" t="s">
        <v>587</v>
      </c>
      <c r="BF159" s="671" t="s">
        <v>562</v>
      </c>
      <c r="BI159" s="1305"/>
      <c r="BJ159" s="502" t="s">
        <v>1174</v>
      </c>
      <c r="BK159" s="593"/>
      <c r="BL159" s="1009"/>
      <c r="BM159" s="1306"/>
    </row>
    <row r="160" spans="1:65" s="1010" customFormat="1" ht="13.5" thickBot="1">
      <c r="A160" s="1480"/>
      <c r="B160" s="337" t="s">
        <v>625</v>
      </c>
      <c r="C160" s="1330"/>
      <c r="D160" s="1207">
        <f t="shared" si="206"/>
        <v>19</v>
      </c>
      <c r="E160" s="1207">
        <f t="shared" si="207"/>
        <v>3</v>
      </c>
      <c r="F160" s="1207">
        <f t="shared" si="208"/>
        <v>16</v>
      </c>
      <c r="G160" s="1300">
        <f t="shared" si="209"/>
        <v>3</v>
      </c>
      <c r="H160" s="1300">
        <f t="shared" si="209"/>
        <v>8</v>
      </c>
      <c r="I160" s="1224">
        <f t="shared" si="210"/>
        <v>0.5</v>
      </c>
      <c r="J160" s="1225">
        <f t="shared" si="211"/>
        <v>4</v>
      </c>
      <c r="K160" s="1000">
        <f t="shared" si="212"/>
        <v>0</v>
      </c>
      <c r="L160" s="1301">
        <f t="shared" si="213"/>
        <v>2</v>
      </c>
      <c r="M160" s="686" t="s">
        <v>562</v>
      </c>
      <c r="N160" s="670"/>
      <c r="O160" s="670" t="s">
        <v>562</v>
      </c>
      <c r="P160" s="671"/>
      <c r="Q160" s="1224">
        <f t="shared" si="214"/>
        <v>0.75</v>
      </c>
      <c r="R160" s="1225">
        <f t="shared" si="215"/>
        <v>12</v>
      </c>
      <c r="S160" s="1006">
        <f t="shared" si="216"/>
        <v>0</v>
      </c>
      <c r="T160" s="1000">
        <f t="shared" si="217"/>
        <v>6</v>
      </c>
      <c r="U160" s="1331"/>
      <c r="V160" s="1332" t="s">
        <v>562</v>
      </c>
      <c r="W160" s="1331" t="s">
        <v>562</v>
      </c>
      <c r="X160" s="1331"/>
      <c r="Y160" s="1332" t="s">
        <v>562</v>
      </c>
      <c r="Z160" s="1331" t="s">
        <v>562</v>
      </c>
      <c r="AA160" s="1333" t="s">
        <v>562</v>
      </c>
      <c r="AB160" s="1331" t="s">
        <v>562</v>
      </c>
      <c r="AC160" s="1334"/>
      <c r="AD160" s="1334"/>
      <c r="AE160" s="1000">
        <f>COUNTIF(AG160:AL160, "M")</f>
        <v>0</v>
      </c>
      <c r="AF160" s="1000">
        <f t="shared" si="219"/>
        <v>0</v>
      </c>
      <c r="AG160" s="1335"/>
      <c r="AH160" s="1336"/>
      <c r="AI160" s="1336"/>
      <c r="AJ160" s="1337"/>
      <c r="AK160" s="1338"/>
      <c r="AL160" s="1339"/>
      <c r="AM160" s="1224">
        <f t="shared" si="220"/>
        <v>7.1428571428571425E-2</v>
      </c>
      <c r="AN160" s="1225">
        <f t="shared" si="221"/>
        <v>1</v>
      </c>
      <c r="AO160" s="1000">
        <f t="shared" si="222"/>
        <v>1</v>
      </c>
      <c r="AP160" s="1000">
        <f t="shared" si="223"/>
        <v>0</v>
      </c>
      <c r="AQ160" s="670"/>
      <c r="AR160" s="670" t="s">
        <v>587</v>
      </c>
      <c r="AS160" s="670"/>
      <c r="AT160" s="670"/>
      <c r="AU160" s="808"/>
      <c r="AV160" s="670"/>
      <c r="AW160" s="808"/>
      <c r="AX160" s="1224">
        <f t="shared" si="224"/>
        <v>0.2</v>
      </c>
      <c r="AY160" s="1225">
        <f>AZ160+(BA160*2)</f>
        <v>2</v>
      </c>
      <c r="AZ160" s="1000">
        <f t="shared" si="202"/>
        <v>2</v>
      </c>
      <c r="BA160" s="1000">
        <f t="shared" si="203"/>
        <v>0</v>
      </c>
      <c r="BB160" s="1331"/>
      <c r="BC160" s="1335"/>
      <c r="BD160" s="1340"/>
      <c r="BE160" s="1340" t="s">
        <v>587</v>
      </c>
      <c r="BF160" s="1341" t="s">
        <v>587</v>
      </c>
      <c r="BI160" s="1342"/>
      <c r="BJ160" s="559" t="s">
        <v>1047</v>
      </c>
      <c r="BK160" s="593"/>
      <c r="BL160" s="1009"/>
      <c r="BM160" s="1306"/>
    </row>
    <row r="161" spans="1:65" s="1010" customFormat="1" ht="13.5" thickTop="1">
      <c r="A161" s="1000" t="s">
        <v>1589</v>
      </c>
      <c r="B161" s="1011"/>
      <c r="C161" s="997"/>
      <c r="D161" s="571"/>
      <c r="E161" s="571"/>
      <c r="F161" s="571"/>
      <c r="G161" s="1300"/>
      <c r="H161" s="1300"/>
      <c r="I161" s="1251"/>
      <c r="J161" s="1251"/>
      <c r="K161" s="1307"/>
      <c r="L161" s="1307"/>
      <c r="M161" s="686">
        <f>COUNTIF(M152:M160, "M")</f>
        <v>3</v>
      </c>
      <c r="N161" s="686">
        <f t="shared" ref="N161:BE161" si="226">COUNTIF(N152:N160, "M")</f>
        <v>0</v>
      </c>
      <c r="O161" s="686">
        <f t="shared" si="226"/>
        <v>6</v>
      </c>
      <c r="P161" s="671">
        <f t="shared" si="226"/>
        <v>0</v>
      </c>
      <c r="Q161" s="1252"/>
      <c r="R161" s="286"/>
      <c r="S161" s="655"/>
      <c r="T161" s="686"/>
      <c r="U161" s="686">
        <f t="shared" si="226"/>
        <v>6</v>
      </c>
      <c r="V161" s="686">
        <f t="shared" si="226"/>
        <v>2</v>
      </c>
      <c r="W161" s="686">
        <f t="shared" si="226"/>
        <v>1</v>
      </c>
      <c r="X161" s="686">
        <f t="shared" si="226"/>
        <v>0</v>
      </c>
      <c r="Y161" s="686">
        <f t="shared" si="226"/>
        <v>3</v>
      </c>
      <c r="Z161" s="686">
        <f t="shared" si="226"/>
        <v>0</v>
      </c>
      <c r="AA161" s="686">
        <f t="shared" si="226"/>
        <v>0</v>
      </c>
      <c r="AB161" s="686">
        <f t="shared" si="226"/>
        <v>5</v>
      </c>
      <c r="AC161" s="1252"/>
      <c r="AD161" s="1252"/>
      <c r="AE161" s="686"/>
      <c r="AF161" s="686"/>
      <c r="AG161" s="686">
        <f t="shared" si="226"/>
        <v>0</v>
      </c>
      <c r="AH161" s="686">
        <f t="shared" si="226"/>
        <v>0</v>
      </c>
      <c r="AI161" s="686">
        <f t="shared" si="226"/>
        <v>0</v>
      </c>
      <c r="AJ161" s="686">
        <f t="shared" si="226"/>
        <v>0</v>
      </c>
      <c r="AK161" s="686">
        <f t="shared" si="226"/>
        <v>0</v>
      </c>
      <c r="AL161" s="686">
        <f t="shared" si="226"/>
        <v>0</v>
      </c>
      <c r="AM161" s="1252"/>
      <c r="AN161" s="1252"/>
      <c r="AO161" s="686"/>
      <c r="AP161" s="686"/>
      <c r="AQ161" s="686">
        <f t="shared" si="226"/>
        <v>2</v>
      </c>
      <c r="AR161" s="686">
        <f t="shared" si="226"/>
        <v>3</v>
      </c>
      <c r="AS161" s="686">
        <f t="shared" si="226"/>
        <v>0</v>
      </c>
      <c r="AT161" s="686">
        <f t="shared" si="226"/>
        <v>0</v>
      </c>
      <c r="AU161" s="686">
        <f t="shared" si="226"/>
        <v>0</v>
      </c>
      <c r="AV161" s="686">
        <f t="shared" si="226"/>
        <v>0</v>
      </c>
      <c r="AW161" s="686">
        <f t="shared" si="226"/>
        <v>0</v>
      </c>
      <c r="AX161" s="1252"/>
      <c r="AY161" s="1252"/>
      <c r="AZ161" s="686"/>
      <c r="BA161" s="686"/>
      <c r="BB161" s="686">
        <f t="shared" si="226"/>
        <v>0</v>
      </c>
      <c r="BC161" s="686">
        <f t="shared" si="226"/>
        <v>0</v>
      </c>
      <c r="BD161" s="686">
        <f t="shared" si="226"/>
        <v>0</v>
      </c>
      <c r="BE161" s="686">
        <f t="shared" si="226"/>
        <v>6</v>
      </c>
      <c r="BF161" s="1343"/>
      <c r="BI161" s="1308"/>
      <c r="BJ161" s="547"/>
      <c r="BK161" s="1009"/>
      <c r="BL161" s="1009"/>
      <c r="BM161" s="1306"/>
    </row>
    <row r="162" spans="1:65" s="1010" customFormat="1" ht="12.75">
      <c r="A162" s="1000" t="s">
        <v>1590</v>
      </c>
      <c r="B162" s="1001"/>
      <c r="C162" s="997"/>
      <c r="D162" s="571"/>
      <c r="E162" s="571"/>
      <c r="F162" s="571"/>
      <c r="G162" s="1300"/>
      <c r="H162" s="1300"/>
      <c r="I162" s="1251"/>
      <c r="J162" s="1251"/>
      <c r="K162" s="1307"/>
      <c r="L162" s="1307"/>
      <c r="M162" s="686">
        <f>COUNTIF(M152:M160, "H")</f>
        <v>3</v>
      </c>
      <c r="N162" s="686">
        <f t="shared" ref="N162:BE162" si="227">COUNTIF(N152:N160, "H")</f>
        <v>0</v>
      </c>
      <c r="O162" s="686">
        <f t="shared" si="227"/>
        <v>3</v>
      </c>
      <c r="P162" s="671">
        <f t="shared" si="227"/>
        <v>0</v>
      </c>
      <c r="Q162" s="1252"/>
      <c r="R162" s="286"/>
      <c r="S162" s="655"/>
      <c r="T162" s="686"/>
      <c r="U162" s="686">
        <f t="shared" si="227"/>
        <v>0</v>
      </c>
      <c r="V162" s="686">
        <f t="shared" si="227"/>
        <v>5</v>
      </c>
      <c r="W162" s="686">
        <f t="shared" si="227"/>
        <v>6</v>
      </c>
      <c r="X162" s="686">
        <f t="shared" si="227"/>
        <v>0</v>
      </c>
      <c r="Y162" s="686">
        <f t="shared" si="227"/>
        <v>3</v>
      </c>
      <c r="Z162" s="686">
        <f t="shared" si="227"/>
        <v>1</v>
      </c>
      <c r="AA162" s="686">
        <f t="shared" si="227"/>
        <v>3</v>
      </c>
      <c r="AB162" s="686">
        <f t="shared" si="227"/>
        <v>4</v>
      </c>
      <c r="AC162" s="1252"/>
      <c r="AD162" s="1252"/>
      <c r="AE162" s="686"/>
      <c r="AF162" s="686"/>
      <c r="AG162" s="686">
        <f t="shared" si="227"/>
        <v>0</v>
      </c>
      <c r="AH162" s="686">
        <f t="shared" si="227"/>
        <v>0</v>
      </c>
      <c r="AI162" s="686">
        <f t="shared" si="227"/>
        <v>0</v>
      </c>
      <c r="AJ162" s="686">
        <f t="shared" si="227"/>
        <v>0</v>
      </c>
      <c r="AK162" s="686">
        <f t="shared" si="227"/>
        <v>0</v>
      </c>
      <c r="AL162" s="686">
        <f t="shared" si="227"/>
        <v>0</v>
      </c>
      <c r="AM162" s="1252"/>
      <c r="AN162" s="1252"/>
      <c r="AO162" s="686"/>
      <c r="AP162" s="686"/>
      <c r="AQ162" s="686">
        <f t="shared" si="227"/>
        <v>0</v>
      </c>
      <c r="AR162" s="686">
        <f t="shared" si="227"/>
        <v>1</v>
      </c>
      <c r="AS162" s="686">
        <f t="shared" si="227"/>
        <v>0</v>
      </c>
      <c r="AT162" s="686">
        <f t="shared" si="227"/>
        <v>0</v>
      </c>
      <c r="AU162" s="686">
        <f t="shared" si="227"/>
        <v>0</v>
      </c>
      <c r="AV162" s="686">
        <f t="shared" si="227"/>
        <v>0</v>
      </c>
      <c r="AW162" s="686">
        <f t="shared" si="227"/>
        <v>0</v>
      </c>
      <c r="AX162" s="1252"/>
      <c r="AY162" s="1252"/>
      <c r="AZ162" s="686"/>
      <c r="BA162" s="686"/>
      <c r="BB162" s="686">
        <f t="shared" si="227"/>
        <v>1</v>
      </c>
      <c r="BC162" s="686">
        <f t="shared" si="227"/>
        <v>0</v>
      </c>
      <c r="BD162" s="686">
        <f t="shared" si="227"/>
        <v>0</v>
      </c>
      <c r="BE162" s="686">
        <f t="shared" si="227"/>
        <v>3</v>
      </c>
      <c r="BF162" s="1343"/>
      <c r="BI162" s="1308"/>
      <c r="BJ162" s="547"/>
      <c r="BK162" s="1009"/>
      <c r="BL162" s="1009"/>
      <c r="BM162" s="1306"/>
    </row>
    <row r="163" spans="1:65">
      <c r="C163" s="524"/>
      <c r="D163" s="1344"/>
      <c r="E163" s="1344"/>
      <c r="F163" s="1344"/>
      <c r="G163" s="1345"/>
      <c r="H163" s="1345"/>
      <c r="I163" s="1345"/>
      <c r="J163" s="1345"/>
      <c r="K163" s="1346"/>
      <c r="L163" s="1346"/>
      <c r="M163" s="678"/>
      <c r="N163" s="1040"/>
      <c r="O163" s="1040"/>
      <c r="P163" s="1210"/>
      <c r="Q163" s="1211"/>
      <c r="R163" s="1207"/>
      <c r="S163" s="1347"/>
      <c r="T163" s="1347"/>
      <c r="U163" s="290"/>
      <c r="V163" s="290"/>
      <c r="W163" s="290"/>
      <c r="X163" s="290"/>
      <c r="AB163" s="290"/>
      <c r="AC163" s="510"/>
      <c r="AD163" s="510"/>
      <c r="AE163" s="1347"/>
      <c r="AF163" s="1347"/>
      <c r="AG163" s="290"/>
      <c r="AH163" s="290"/>
      <c r="AI163" s="290"/>
      <c r="AJ163" s="290"/>
      <c r="AK163" s="290"/>
      <c r="AL163" s="290"/>
      <c r="AM163" s="510"/>
      <c r="AN163" s="510"/>
      <c r="AO163" s="1347"/>
      <c r="AP163" s="1347"/>
      <c r="AQ163" s="815"/>
      <c r="AR163" s="815"/>
      <c r="AS163" s="816"/>
      <c r="AT163" s="816"/>
      <c r="AU163" s="817"/>
      <c r="AV163" s="815"/>
      <c r="AW163" s="817"/>
      <c r="AX163" s="1348"/>
      <c r="AY163" s="1348"/>
      <c r="AZ163" s="1349"/>
      <c r="BA163" s="1349"/>
      <c r="BB163" s="645"/>
      <c r="BC163" s="11"/>
      <c r="BD163" s="11"/>
      <c r="BE163" s="11"/>
      <c r="BF163" s="11"/>
      <c r="BM163" s="645"/>
    </row>
    <row r="164" spans="1:65">
      <c r="A164" s="525" t="s">
        <v>1442</v>
      </c>
      <c r="B164" s="821"/>
      <c r="D164" s="1350"/>
      <c r="E164" s="1350"/>
      <c r="F164" s="1350"/>
      <c r="G164" s="1345"/>
      <c r="H164" s="1345"/>
      <c r="I164" s="1345"/>
      <c r="J164" s="1345"/>
      <c r="M164" s="678"/>
      <c r="N164" s="1040"/>
      <c r="O164" s="1040"/>
      <c r="P164" s="1210"/>
      <c r="Q164" s="1211"/>
      <c r="R164" s="1207"/>
      <c r="S164" s="1347"/>
      <c r="T164" s="1347"/>
      <c r="U164" s="290"/>
      <c r="V164" s="290"/>
      <c r="W164" s="290"/>
      <c r="X164" s="290"/>
      <c r="AB164" s="290"/>
      <c r="AC164" s="510"/>
      <c r="AD164" s="510"/>
      <c r="AE164" s="1347"/>
      <c r="AF164" s="1347"/>
      <c r="AG164" s="290"/>
      <c r="AH164" s="290"/>
      <c r="AI164" s="290"/>
      <c r="AJ164" s="290"/>
      <c r="AK164" s="290"/>
      <c r="AL164" s="290"/>
      <c r="AM164" s="510"/>
      <c r="AN164" s="510"/>
      <c r="AO164" s="1347"/>
      <c r="AP164" s="1347"/>
      <c r="AQ164" s="814"/>
      <c r="AR164" s="814"/>
      <c r="AS164" s="814"/>
      <c r="AT164" s="814"/>
      <c r="AU164" s="814"/>
      <c r="AV164" s="814"/>
      <c r="AW164" s="814"/>
      <c r="AX164" s="594"/>
      <c r="AY164" s="594"/>
      <c r="AZ164" s="1351"/>
      <c r="BA164" s="1351"/>
      <c r="BB164" s="645"/>
      <c r="BC164" s="11"/>
      <c r="BD164" s="11"/>
      <c r="BE164" s="11"/>
      <c r="BF164" s="11"/>
      <c r="BM164" s="645"/>
    </row>
    <row r="165" spans="1:65">
      <c r="D165" s="1350"/>
      <c r="E165" s="1350"/>
      <c r="F165" s="1350"/>
      <c r="G165" s="1345"/>
      <c r="H165" s="1345"/>
      <c r="I165" s="1345"/>
      <c r="J165" s="1345"/>
      <c r="M165" s="678"/>
      <c r="N165" s="1040"/>
      <c r="O165" s="1040"/>
      <c r="P165" s="1210"/>
      <c r="Q165" s="1211"/>
      <c r="R165" s="1207"/>
      <c r="S165" s="1347"/>
      <c r="T165" s="1347"/>
      <c r="U165" s="290"/>
      <c r="V165" s="290"/>
      <c r="W165" s="290"/>
      <c r="X165" s="290"/>
      <c r="AB165" s="290"/>
      <c r="AC165" s="510"/>
      <c r="AD165" s="510"/>
      <c r="AE165" s="1347"/>
      <c r="AF165" s="1347"/>
      <c r="AG165" s="290"/>
      <c r="AH165" s="290"/>
      <c r="AI165" s="290"/>
      <c r="AJ165" s="290"/>
      <c r="AK165" s="290"/>
      <c r="AL165" s="290"/>
      <c r="AM165" s="510"/>
      <c r="AN165" s="510"/>
      <c r="AO165" s="1347"/>
      <c r="AP165" s="1347"/>
      <c r="AQ165" s="814"/>
      <c r="AR165" s="814"/>
      <c r="AS165" s="814"/>
      <c r="AT165" s="814"/>
      <c r="AU165" s="814"/>
      <c r="AV165" s="814"/>
      <c r="AW165" s="814"/>
      <c r="AX165" s="594"/>
      <c r="AY165" s="594"/>
      <c r="AZ165" s="1351"/>
      <c r="BA165" s="1351"/>
      <c r="BB165" s="645"/>
      <c r="BC165" s="11"/>
      <c r="BD165" s="11"/>
      <c r="BE165" s="11"/>
      <c r="BF165" s="11"/>
      <c r="BM165" s="645"/>
    </row>
    <row r="166" spans="1:65">
      <c r="C166" s="417" t="s">
        <v>1335</v>
      </c>
      <c r="D166" s="1352"/>
      <c r="E166" s="1352"/>
      <c r="F166" s="1352"/>
      <c r="G166" s="1345"/>
      <c r="H166" s="1345"/>
      <c r="I166" s="1345"/>
      <c r="J166" s="1345"/>
      <c r="M166" s="678"/>
      <c r="N166" s="1040"/>
      <c r="O166" s="1040"/>
      <c r="P166" s="1210"/>
      <c r="Q166" s="1211"/>
      <c r="R166" s="1207"/>
      <c r="S166" s="1347"/>
      <c r="T166" s="1347"/>
      <c r="U166" s="290"/>
      <c r="V166" s="290"/>
      <c r="W166" s="290"/>
      <c r="X166" s="290"/>
      <c r="AB166" s="290"/>
      <c r="AC166" s="510"/>
      <c r="AD166" s="510"/>
      <c r="AE166" s="1347"/>
      <c r="AF166" s="1347"/>
      <c r="AG166" s="290"/>
      <c r="AH166" s="290"/>
      <c r="AI166" s="290"/>
      <c r="AJ166" s="290"/>
      <c r="AK166" s="290"/>
      <c r="AL166" s="290"/>
      <c r="AM166" s="510"/>
      <c r="AN166" s="510"/>
      <c r="AO166" s="1347"/>
      <c r="AP166" s="1347"/>
      <c r="AQ166" s="800"/>
      <c r="AR166" s="800"/>
      <c r="AS166" s="800"/>
      <c r="AT166" s="800"/>
      <c r="AU166" s="800"/>
      <c r="AV166" s="800"/>
      <c r="AW166" s="800"/>
      <c r="AX166" s="594"/>
      <c r="AY166" s="594"/>
      <c r="AZ166" s="1351"/>
      <c r="BA166" s="1351"/>
      <c r="BB166" s="645"/>
      <c r="BC166" s="11"/>
      <c r="BD166" s="11"/>
      <c r="BE166" s="11"/>
      <c r="BF166" s="11"/>
      <c r="BM166" s="645"/>
    </row>
    <row r="167" spans="1:65" ht="33.75">
      <c r="B167" s="530" t="s">
        <v>1357</v>
      </c>
      <c r="C167" s="595"/>
      <c r="D167" s="1207">
        <f t="shared" ref="D167:D177" si="228">E167+F167</f>
        <v>11</v>
      </c>
      <c r="E167" s="1207">
        <f t="shared" ref="E167:E177" si="229">G167*1</f>
        <v>1</v>
      </c>
      <c r="F167" s="1207">
        <f t="shared" ref="F167:F177" si="230">H167*2</f>
        <v>10</v>
      </c>
      <c r="G167" s="1272">
        <f t="shared" ref="G167:H177" si="231">SUM(K167+S167+AE167+AO167+AZ167)</f>
        <v>1</v>
      </c>
      <c r="H167" s="1272">
        <f t="shared" si="231"/>
        <v>5</v>
      </c>
      <c r="I167" s="1224">
        <f t="shared" ref="I167:I177" si="232">J167/8</f>
        <v>0.5</v>
      </c>
      <c r="J167" s="1225">
        <f t="shared" ref="J167:J177" si="233">K167+(L167*2)</f>
        <v>4</v>
      </c>
      <c r="K167" s="958">
        <f t="shared" ref="K167:K177" si="234">COUNTIF(M167:P167, "M")</f>
        <v>0</v>
      </c>
      <c r="L167" s="1273">
        <f t="shared" ref="L167:L177" si="235">COUNTIF(M167:P167, "H")</f>
        <v>2</v>
      </c>
      <c r="M167" s="1353" t="s">
        <v>562</v>
      </c>
      <c r="N167" s="722"/>
      <c r="O167" s="722" t="s">
        <v>562</v>
      </c>
      <c r="P167" s="1354"/>
      <c r="Q167" s="1211"/>
      <c r="R167" s="1207"/>
      <c r="S167" s="963">
        <f>COUNTIF(U167:AB167, "M")</f>
        <v>1</v>
      </c>
      <c r="T167" s="958">
        <f t="shared" ref="T167:T177" si="236">COUNTIF(U167:AB167, "H")</f>
        <v>1</v>
      </c>
      <c r="U167" s="722" t="s">
        <v>587</v>
      </c>
      <c r="V167" s="722"/>
      <c r="W167" s="722" t="s">
        <v>562</v>
      </c>
      <c r="X167" s="722"/>
      <c r="Y167" s="723"/>
      <c r="Z167" s="1277"/>
      <c r="AA167" s="1277"/>
      <c r="AB167" s="722"/>
      <c r="AC167" s="1207"/>
      <c r="AD167" s="1207"/>
      <c r="AE167" s="958">
        <f>COUNTIF(AG167:AL167, "M")</f>
        <v>0</v>
      </c>
      <c r="AF167" s="958">
        <f t="shared" ref="AF167:AF177" si="237">COUNTIF(AG167:AL167, "H")</f>
        <v>0</v>
      </c>
      <c r="AG167" s="1353"/>
      <c r="AH167" s="722"/>
      <c r="AI167" s="722"/>
      <c r="AJ167" s="1355"/>
      <c r="AK167" s="1356"/>
      <c r="AL167" s="1357"/>
      <c r="AM167" s="1224">
        <f t="shared" ref="AM167:AM177" si="238">AN167/14</f>
        <v>0</v>
      </c>
      <c r="AN167" s="1225">
        <f t="shared" ref="AN167:AN177" si="239">AO167+(AP167*2)</f>
        <v>0</v>
      </c>
      <c r="AO167" s="958">
        <f t="shared" ref="AO167:AO177" si="240">COUNTIF(AQ167:AW167, "M")</f>
        <v>0</v>
      </c>
      <c r="AP167" s="958">
        <f t="shared" ref="AP167:AP177" si="241">COUNTIF(AQ167:AW167, "H")</f>
        <v>0</v>
      </c>
      <c r="AQ167" s="722"/>
      <c r="AR167" s="722"/>
      <c r="AS167" s="722"/>
      <c r="AT167" s="722"/>
      <c r="AU167" s="818"/>
      <c r="AV167" s="722"/>
      <c r="AW167" s="818"/>
      <c r="AX167" s="1224">
        <f t="shared" ref="AX167:AX177" si="242">AY167/10</f>
        <v>0.4</v>
      </c>
      <c r="AY167" s="1225">
        <f t="shared" ref="AY167:AY177" si="243">AZ167+(BA167*2)</f>
        <v>4</v>
      </c>
      <c r="AZ167" s="958">
        <f t="shared" ref="AZ167:AZ177" si="244">COUNTIF(BB167:BF167, "M")</f>
        <v>0</v>
      </c>
      <c r="BA167" s="958">
        <f t="shared" ref="BA167:BA177" si="245">COUNTIF(BB167:BF167, "H")</f>
        <v>2</v>
      </c>
      <c r="BB167" s="1277"/>
      <c r="BC167" s="823"/>
      <c r="BD167" s="823"/>
      <c r="BE167" s="722" t="s">
        <v>562</v>
      </c>
      <c r="BF167" s="722" t="s">
        <v>562</v>
      </c>
      <c r="BI167" s="1358"/>
      <c r="BJ167" s="535" t="s">
        <v>1358</v>
      </c>
      <c r="BK167" s="569"/>
      <c r="BL167" s="569"/>
      <c r="BM167" s="643"/>
    </row>
    <row r="168" spans="1:65" ht="38.25">
      <c r="B168" s="533" t="s">
        <v>1359</v>
      </c>
      <c r="C168" s="423" t="s">
        <v>1017</v>
      </c>
      <c r="D168" s="1207">
        <f t="shared" si="228"/>
        <v>23</v>
      </c>
      <c r="E168" s="1207">
        <f t="shared" si="229"/>
        <v>3</v>
      </c>
      <c r="F168" s="1207">
        <f t="shared" si="230"/>
        <v>20</v>
      </c>
      <c r="G168" s="1272">
        <f t="shared" si="231"/>
        <v>3</v>
      </c>
      <c r="H168" s="1272">
        <f t="shared" si="231"/>
        <v>10</v>
      </c>
      <c r="I168" s="1224">
        <f t="shared" si="232"/>
        <v>0.75</v>
      </c>
      <c r="J168" s="1225">
        <f t="shared" si="233"/>
        <v>6</v>
      </c>
      <c r="K168" s="958">
        <f t="shared" si="234"/>
        <v>0</v>
      </c>
      <c r="L168" s="1273">
        <f t="shared" si="235"/>
        <v>3</v>
      </c>
      <c r="M168" s="683" t="s">
        <v>562</v>
      </c>
      <c r="N168" s="659" t="s">
        <v>562</v>
      </c>
      <c r="O168" s="659" t="s">
        <v>562</v>
      </c>
      <c r="P168" s="666"/>
      <c r="Q168" s="1252"/>
      <c r="R168" s="286"/>
      <c r="S168" s="963">
        <f t="shared" ref="S168:S177" si="246">COUNTIF(U168:AB168, "M")</f>
        <v>0</v>
      </c>
      <c r="T168" s="958">
        <f t="shared" si="236"/>
        <v>4</v>
      </c>
      <c r="U168" s="659" t="s">
        <v>562</v>
      </c>
      <c r="V168" s="659"/>
      <c r="W168" s="659" t="s">
        <v>562</v>
      </c>
      <c r="X168" s="659"/>
      <c r="Y168" s="659" t="s">
        <v>562</v>
      </c>
      <c r="Z168" s="1046"/>
      <c r="AA168" s="1046"/>
      <c r="AB168" s="659" t="s">
        <v>562</v>
      </c>
      <c r="AC168" s="286"/>
      <c r="AD168" s="286"/>
      <c r="AE168" s="958">
        <f t="shared" ref="AE168:AE177" si="247">COUNTIF(AG168:AL168, "M")</f>
        <v>0</v>
      </c>
      <c r="AF168" s="958">
        <f t="shared" si="237"/>
        <v>0</v>
      </c>
      <c r="AG168" s="683"/>
      <c r="AH168" s="659"/>
      <c r="AI168" s="659"/>
      <c r="AJ168" s="1359"/>
      <c r="AK168" s="1275"/>
      <c r="AL168" s="1276"/>
      <c r="AM168" s="1224">
        <f t="shared" si="238"/>
        <v>0.42857142857142855</v>
      </c>
      <c r="AN168" s="1225">
        <f t="shared" si="239"/>
        <v>6</v>
      </c>
      <c r="AO168" s="958">
        <f t="shared" si="240"/>
        <v>0</v>
      </c>
      <c r="AP168" s="958">
        <f t="shared" si="241"/>
        <v>3</v>
      </c>
      <c r="AQ168" s="659"/>
      <c r="AR168" s="659" t="s">
        <v>562</v>
      </c>
      <c r="AS168" s="659"/>
      <c r="AT168" s="659"/>
      <c r="AU168" s="805"/>
      <c r="AV168" s="659" t="s">
        <v>562</v>
      </c>
      <c r="AW168" s="659" t="s">
        <v>562</v>
      </c>
      <c r="AX168" s="1224">
        <f t="shared" si="242"/>
        <v>0.3</v>
      </c>
      <c r="AY168" s="1225">
        <f t="shared" si="243"/>
        <v>3</v>
      </c>
      <c r="AZ168" s="958">
        <f t="shared" si="244"/>
        <v>3</v>
      </c>
      <c r="BA168" s="958">
        <f t="shared" si="245"/>
        <v>0</v>
      </c>
      <c r="BB168" s="1046"/>
      <c r="BC168" s="1046"/>
      <c r="BD168" s="659" t="s">
        <v>587</v>
      </c>
      <c r="BE168" s="659" t="s">
        <v>587</v>
      </c>
      <c r="BF168" s="659" t="s">
        <v>587</v>
      </c>
      <c r="BI168" s="1278" t="s">
        <v>1336</v>
      </c>
      <c r="BJ168" s="1047" t="s">
        <v>1337</v>
      </c>
      <c r="BK168" s="490"/>
      <c r="BL168" s="569"/>
      <c r="BM168" s="643"/>
    </row>
    <row r="169" spans="1:65" ht="33.75">
      <c r="B169" s="1044" t="s">
        <v>1006</v>
      </c>
      <c r="C169" s="423" t="s">
        <v>1360</v>
      </c>
      <c r="D169" s="1207">
        <f t="shared" si="228"/>
        <v>22</v>
      </c>
      <c r="E169" s="1207">
        <f t="shared" si="229"/>
        <v>0</v>
      </c>
      <c r="F169" s="1207">
        <f t="shared" si="230"/>
        <v>22</v>
      </c>
      <c r="G169" s="1272">
        <f t="shared" si="231"/>
        <v>0</v>
      </c>
      <c r="H169" s="1272">
        <f t="shared" si="231"/>
        <v>11</v>
      </c>
      <c r="I169" s="1224">
        <f t="shared" si="232"/>
        <v>0.5</v>
      </c>
      <c r="J169" s="1225">
        <f t="shared" si="233"/>
        <v>4</v>
      </c>
      <c r="K169" s="958">
        <f t="shared" si="234"/>
        <v>0</v>
      </c>
      <c r="L169" s="1273">
        <f t="shared" si="235"/>
        <v>2</v>
      </c>
      <c r="M169" s="1353" t="s">
        <v>562</v>
      </c>
      <c r="N169" s="722"/>
      <c r="O169" s="722" t="s">
        <v>562</v>
      </c>
      <c r="P169" s="1354"/>
      <c r="Q169" s="1211"/>
      <c r="R169" s="1207"/>
      <c r="S169" s="963">
        <f t="shared" si="246"/>
        <v>0</v>
      </c>
      <c r="T169" s="958">
        <f t="shared" si="236"/>
        <v>5</v>
      </c>
      <c r="U169" s="722" t="s">
        <v>562</v>
      </c>
      <c r="V169" s="722"/>
      <c r="W169" s="722" t="s">
        <v>562</v>
      </c>
      <c r="X169" s="722"/>
      <c r="Y169" s="723" t="s">
        <v>562</v>
      </c>
      <c r="Z169" s="1277" t="s">
        <v>562</v>
      </c>
      <c r="AA169" s="1277"/>
      <c r="AB169" s="722" t="s">
        <v>562</v>
      </c>
      <c r="AC169" s="1207"/>
      <c r="AD169" s="1207"/>
      <c r="AE169" s="958">
        <f t="shared" si="247"/>
        <v>0</v>
      </c>
      <c r="AF169" s="958">
        <f t="shared" si="237"/>
        <v>0</v>
      </c>
      <c r="AG169" s="1353"/>
      <c r="AH169" s="722"/>
      <c r="AI169" s="722"/>
      <c r="AJ169" s="1355"/>
      <c r="AK169" s="1356"/>
      <c r="AL169" s="1357"/>
      <c r="AM169" s="1224">
        <f t="shared" si="238"/>
        <v>0.2857142857142857</v>
      </c>
      <c r="AN169" s="1225">
        <f t="shared" si="239"/>
        <v>4</v>
      </c>
      <c r="AO169" s="958">
        <f t="shared" si="240"/>
        <v>0</v>
      </c>
      <c r="AP169" s="958">
        <f t="shared" si="241"/>
        <v>2</v>
      </c>
      <c r="AQ169" s="722"/>
      <c r="AR169" s="722"/>
      <c r="AS169" s="722"/>
      <c r="AT169" s="722"/>
      <c r="AU169" s="818"/>
      <c r="AV169" s="722" t="s">
        <v>562</v>
      </c>
      <c r="AW169" s="722" t="s">
        <v>562</v>
      </c>
      <c r="AX169" s="1224">
        <f t="shared" si="242"/>
        <v>0.4</v>
      </c>
      <c r="AY169" s="1225">
        <f t="shared" si="243"/>
        <v>4</v>
      </c>
      <c r="AZ169" s="958">
        <f t="shared" si="244"/>
        <v>0</v>
      </c>
      <c r="BA169" s="958">
        <f t="shared" si="245"/>
        <v>2</v>
      </c>
      <c r="BB169" s="1277"/>
      <c r="BC169" s="823"/>
      <c r="BD169" s="823"/>
      <c r="BE169" s="722" t="s">
        <v>562</v>
      </c>
      <c r="BF169" s="722" t="s">
        <v>562</v>
      </c>
      <c r="BI169" s="1278" t="s">
        <v>1189</v>
      </c>
      <c r="BJ169" s="1047" t="s">
        <v>1196</v>
      </c>
      <c r="BK169" s="569"/>
      <c r="BL169" s="569"/>
      <c r="BM169" s="643"/>
    </row>
    <row r="170" spans="1:65" ht="33.75">
      <c r="B170" s="1044" t="s">
        <v>598</v>
      </c>
      <c r="C170" s="595" t="s">
        <v>1361</v>
      </c>
      <c r="D170" s="1207">
        <f t="shared" si="228"/>
        <v>23</v>
      </c>
      <c r="E170" s="1207">
        <f t="shared" si="229"/>
        <v>3</v>
      </c>
      <c r="F170" s="1207">
        <f t="shared" si="230"/>
        <v>20</v>
      </c>
      <c r="G170" s="1272">
        <f t="shared" si="231"/>
        <v>3</v>
      </c>
      <c r="H170" s="1272">
        <f t="shared" si="231"/>
        <v>10</v>
      </c>
      <c r="I170" s="1224">
        <f t="shared" si="232"/>
        <v>0.75</v>
      </c>
      <c r="J170" s="1225">
        <f t="shared" si="233"/>
        <v>6</v>
      </c>
      <c r="K170" s="958">
        <f t="shared" si="234"/>
        <v>0</v>
      </c>
      <c r="L170" s="1273">
        <f t="shared" si="235"/>
        <v>3</v>
      </c>
      <c r="M170" s="1353" t="s">
        <v>562</v>
      </c>
      <c r="N170" s="722" t="s">
        <v>562</v>
      </c>
      <c r="O170" s="722" t="s">
        <v>562</v>
      </c>
      <c r="P170" s="1354"/>
      <c r="Q170" s="1211"/>
      <c r="R170" s="1207"/>
      <c r="S170" s="963">
        <f t="shared" si="246"/>
        <v>2</v>
      </c>
      <c r="T170" s="958">
        <f t="shared" si="236"/>
        <v>3</v>
      </c>
      <c r="U170" s="722" t="s">
        <v>587</v>
      </c>
      <c r="V170" s="722"/>
      <c r="W170" s="722" t="s">
        <v>562</v>
      </c>
      <c r="X170" s="722"/>
      <c r="Y170" s="723" t="s">
        <v>562</v>
      </c>
      <c r="Z170" s="1277" t="s">
        <v>562</v>
      </c>
      <c r="AA170" s="1277"/>
      <c r="AB170" s="722" t="s">
        <v>587</v>
      </c>
      <c r="AC170" s="1207"/>
      <c r="AD170" s="1207"/>
      <c r="AE170" s="958">
        <f t="shared" si="247"/>
        <v>0</v>
      </c>
      <c r="AF170" s="958">
        <f t="shared" si="237"/>
        <v>0</v>
      </c>
      <c r="AG170" s="1353"/>
      <c r="AH170" s="722"/>
      <c r="AI170" s="722"/>
      <c r="AJ170" s="1355"/>
      <c r="AK170" s="1356"/>
      <c r="AL170" s="1357"/>
      <c r="AM170" s="1224">
        <f t="shared" si="238"/>
        <v>0.35714285714285715</v>
      </c>
      <c r="AN170" s="1225">
        <f t="shared" si="239"/>
        <v>5</v>
      </c>
      <c r="AO170" s="958">
        <f t="shared" si="240"/>
        <v>1</v>
      </c>
      <c r="AP170" s="958">
        <f t="shared" si="241"/>
        <v>2</v>
      </c>
      <c r="AQ170" s="722"/>
      <c r="AR170" s="722" t="s">
        <v>562</v>
      </c>
      <c r="AS170" s="722" t="s">
        <v>562</v>
      </c>
      <c r="AT170" s="722"/>
      <c r="AU170" s="818" t="s">
        <v>587</v>
      </c>
      <c r="AV170" s="722"/>
      <c r="AW170" s="722"/>
      <c r="AX170" s="1224">
        <f t="shared" si="242"/>
        <v>0.4</v>
      </c>
      <c r="AY170" s="1225">
        <f t="shared" si="243"/>
        <v>4</v>
      </c>
      <c r="AZ170" s="958">
        <f t="shared" si="244"/>
        <v>0</v>
      </c>
      <c r="BA170" s="958">
        <f t="shared" si="245"/>
        <v>2</v>
      </c>
      <c r="BB170" s="1277"/>
      <c r="BC170" s="823"/>
      <c r="BD170" s="823"/>
      <c r="BE170" s="722" t="s">
        <v>562</v>
      </c>
      <c r="BF170" s="722" t="s">
        <v>562</v>
      </c>
      <c r="BI170" s="1358"/>
      <c r="BJ170" s="1047" t="s">
        <v>1191</v>
      </c>
      <c r="BK170" s="569"/>
      <c r="BL170" s="569"/>
      <c r="BM170" s="646"/>
    </row>
    <row r="171" spans="1:65" ht="39">
      <c r="B171" s="533" t="s">
        <v>1339</v>
      </c>
      <c r="C171" s="595" t="s">
        <v>1435</v>
      </c>
      <c r="D171" s="1207">
        <f t="shared" si="228"/>
        <v>18</v>
      </c>
      <c r="E171" s="1207">
        <f t="shared" si="229"/>
        <v>2</v>
      </c>
      <c r="F171" s="1207">
        <f t="shared" si="230"/>
        <v>16</v>
      </c>
      <c r="G171" s="1272">
        <f t="shared" si="231"/>
        <v>2</v>
      </c>
      <c r="H171" s="1272">
        <f t="shared" si="231"/>
        <v>8</v>
      </c>
      <c r="I171" s="1224">
        <f t="shared" si="232"/>
        <v>0.375</v>
      </c>
      <c r="J171" s="1225">
        <f t="shared" si="233"/>
        <v>3</v>
      </c>
      <c r="K171" s="958">
        <f t="shared" si="234"/>
        <v>1</v>
      </c>
      <c r="L171" s="1273">
        <f t="shared" si="235"/>
        <v>1</v>
      </c>
      <c r="M171" s="1353"/>
      <c r="N171" s="722" t="s">
        <v>587</v>
      </c>
      <c r="O171" s="722" t="s">
        <v>562</v>
      </c>
      <c r="P171" s="1354"/>
      <c r="Q171" s="1211"/>
      <c r="R171" s="1207"/>
      <c r="S171" s="963">
        <f t="shared" si="246"/>
        <v>1</v>
      </c>
      <c r="T171" s="958">
        <f t="shared" si="236"/>
        <v>3</v>
      </c>
      <c r="U171" s="722" t="s">
        <v>587</v>
      </c>
      <c r="V171" s="722"/>
      <c r="W171" s="722" t="s">
        <v>562</v>
      </c>
      <c r="X171" s="722"/>
      <c r="Y171" s="723"/>
      <c r="Z171" s="1277" t="s">
        <v>562</v>
      </c>
      <c r="AA171" s="1277"/>
      <c r="AB171" s="722" t="s">
        <v>562</v>
      </c>
      <c r="AC171" s="1207"/>
      <c r="AD171" s="1207"/>
      <c r="AE171" s="958">
        <f t="shared" si="247"/>
        <v>0</v>
      </c>
      <c r="AF171" s="958">
        <f t="shared" si="237"/>
        <v>0</v>
      </c>
      <c r="AG171" s="1353"/>
      <c r="AH171" s="722"/>
      <c r="AI171" s="722"/>
      <c r="AJ171" s="1355"/>
      <c r="AK171" s="1356"/>
      <c r="AL171" s="1357"/>
      <c r="AM171" s="1224">
        <f t="shared" si="238"/>
        <v>0.2857142857142857</v>
      </c>
      <c r="AN171" s="1225">
        <f t="shared" si="239"/>
        <v>4</v>
      </c>
      <c r="AO171" s="958">
        <f t="shared" si="240"/>
        <v>0</v>
      </c>
      <c r="AP171" s="958">
        <f t="shared" si="241"/>
        <v>2</v>
      </c>
      <c r="AQ171" s="722"/>
      <c r="AR171" s="722"/>
      <c r="AS171" s="722"/>
      <c r="AT171" s="722"/>
      <c r="AU171" s="818"/>
      <c r="AV171" s="722" t="s">
        <v>562</v>
      </c>
      <c r="AW171" s="722" t="s">
        <v>562</v>
      </c>
      <c r="AX171" s="1224">
        <f t="shared" si="242"/>
        <v>0.4</v>
      </c>
      <c r="AY171" s="1225">
        <f t="shared" si="243"/>
        <v>4</v>
      </c>
      <c r="AZ171" s="958">
        <f t="shared" si="244"/>
        <v>0</v>
      </c>
      <c r="BA171" s="958">
        <f t="shared" si="245"/>
        <v>2</v>
      </c>
      <c r="BB171" s="1277"/>
      <c r="BC171" s="823"/>
      <c r="BD171" s="823"/>
      <c r="BE171" s="722" t="s">
        <v>562</v>
      </c>
      <c r="BF171" s="722" t="s">
        <v>562</v>
      </c>
      <c r="BI171" s="1358"/>
      <c r="BJ171" s="535" t="s">
        <v>1340</v>
      </c>
      <c r="BK171" s="569"/>
      <c r="BL171" s="569"/>
      <c r="BM171" s="646"/>
    </row>
    <row r="172" spans="1:65" ht="26.25">
      <c r="B172" s="530" t="s">
        <v>1341</v>
      </c>
      <c r="C172" s="595" t="s">
        <v>1362</v>
      </c>
      <c r="D172" s="1207">
        <f t="shared" si="228"/>
        <v>14</v>
      </c>
      <c r="E172" s="1207">
        <f t="shared" si="229"/>
        <v>2</v>
      </c>
      <c r="F172" s="1207">
        <f t="shared" si="230"/>
        <v>12</v>
      </c>
      <c r="G172" s="1272">
        <f t="shared" si="231"/>
        <v>2</v>
      </c>
      <c r="H172" s="1272">
        <f t="shared" si="231"/>
        <v>6</v>
      </c>
      <c r="I172" s="1224">
        <f t="shared" si="232"/>
        <v>0.5</v>
      </c>
      <c r="J172" s="1225">
        <f t="shared" si="233"/>
        <v>4</v>
      </c>
      <c r="K172" s="958">
        <f t="shared" si="234"/>
        <v>0</v>
      </c>
      <c r="L172" s="1273">
        <f t="shared" si="235"/>
        <v>2</v>
      </c>
      <c r="M172" s="1353" t="s">
        <v>562</v>
      </c>
      <c r="N172" s="722"/>
      <c r="O172" s="722" t="s">
        <v>562</v>
      </c>
      <c r="P172" s="1354"/>
      <c r="Q172" s="1211"/>
      <c r="R172" s="1207"/>
      <c r="S172" s="963">
        <f t="shared" si="246"/>
        <v>1</v>
      </c>
      <c r="T172" s="958">
        <f t="shared" si="236"/>
        <v>2</v>
      </c>
      <c r="U172" s="722" t="s">
        <v>587</v>
      </c>
      <c r="V172" s="722"/>
      <c r="W172" s="722" t="s">
        <v>562</v>
      </c>
      <c r="X172" s="722"/>
      <c r="Y172" s="723"/>
      <c r="Z172" s="1277"/>
      <c r="AA172" s="1277"/>
      <c r="AB172" s="722" t="s">
        <v>562</v>
      </c>
      <c r="AC172" s="1207"/>
      <c r="AD172" s="1207"/>
      <c r="AE172" s="958">
        <f t="shared" si="247"/>
        <v>0</v>
      </c>
      <c r="AF172" s="958">
        <f t="shared" si="237"/>
        <v>0</v>
      </c>
      <c r="AG172" s="1353"/>
      <c r="AH172" s="722"/>
      <c r="AI172" s="722"/>
      <c r="AJ172" s="1355"/>
      <c r="AK172" s="1356"/>
      <c r="AL172" s="1357"/>
      <c r="AM172" s="1224">
        <f t="shared" si="238"/>
        <v>7.1428571428571425E-2</v>
      </c>
      <c r="AN172" s="1225">
        <f t="shared" si="239"/>
        <v>1</v>
      </c>
      <c r="AO172" s="958">
        <f t="shared" si="240"/>
        <v>1</v>
      </c>
      <c r="AP172" s="958">
        <f t="shared" si="241"/>
        <v>0</v>
      </c>
      <c r="AQ172" s="722"/>
      <c r="AR172" s="722"/>
      <c r="AS172" s="722"/>
      <c r="AT172" s="722"/>
      <c r="AU172" s="818" t="s">
        <v>587</v>
      </c>
      <c r="AV172" s="722"/>
      <c r="AW172" s="722"/>
      <c r="AX172" s="1224">
        <f t="shared" si="242"/>
        <v>0.4</v>
      </c>
      <c r="AY172" s="1225">
        <f t="shared" si="243"/>
        <v>4</v>
      </c>
      <c r="AZ172" s="958">
        <f t="shared" si="244"/>
        <v>0</v>
      </c>
      <c r="BA172" s="958">
        <f t="shared" si="245"/>
        <v>2</v>
      </c>
      <c r="BB172" s="1277"/>
      <c r="BC172" s="823"/>
      <c r="BD172" s="823"/>
      <c r="BE172" s="722" t="s">
        <v>562</v>
      </c>
      <c r="BF172" s="722" t="s">
        <v>562</v>
      </c>
      <c r="BI172" s="1358"/>
      <c r="BJ172" s="535" t="s">
        <v>1425</v>
      </c>
      <c r="BK172" s="569"/>
      <c r="BL172" s="569"/>
      <c r="BM172" s="646"/>
    </row>
    <row r="173" spans="1:65" ht="25.5">
      <c r="B173" s="536" t="s">
        <v>1353</v>
      </c>
      <c r="C173" s="595" t="s">
        <v>1363</v>
      </c>
      <c r="D173" s="1207">
        <f t="shared" si="228"/>
        <v>24</v>
      </c>
      <c r="E173" s="1207">
        <f t="shared" si="229"/>
        <v>2</v>
      </c>
      <c r="F173" s="1207">
        <f t="shared" si="230"/>
        <v>22</v>
      </c>
      <c r="G173" s="1272">
        <f t="shared" si="231"/>
        <v>2</v>
      </c>
      <c r="H173" s="1272">
        <f t="shared" si="231"/>
        <v>11</v>
      </c>
      <c r="I173" s="1224">
        <f t="shared" si="232"/>
        <v>0.5</v>
      </c>
      <c r="J173" s="1225">
        <f t="shared" si="233"/>
        <v>4</v>
      </c>
      <c r="K173" s="958">
        <f t="shared" si="234"/>
        <v>0</v>
      </c>
      <c r="L173" s="1273">
        <f t="shared" si="235"/>
        <v>2</v>
      </c>
      <c r="M173" s="1353" t="s">
        <v>562</v>
      </c>
      <c r="N173" s="722"/>
      <c r="O173" s="722" t="s">
        <v>562</v>
      </c>
      <c r="P173" s="1354"/>
      <c r="Q173" s="1211"/>
      <c r="R173" s="1207"/>
      <c r="S173" s="963">
        <f t="shared" si="246"/>
        <v>1</v>
      </c>
      <c r="T173" s="958">
        <f t="shared" si="236"/>
        <v>4</v>
      </c>
      <c r="U173" s="722" t="s">
        <v>587</v>
      </c>
      <c r="V173" s="722"/>
      <c r="W173" s="722" t="s">
        <v>562</v>
      </c>
      <c r="X173" s="722"/>
      <c r="Y173" s="723" t="s">
        <v>562</v>
      </c>
      <c r="Z173" s="1277" t="s">
        <v>562</v>
      </c>
      <c r="AA173" s="1277"/>
      <c r="AB173" s="722" t="s">
        <v>562</v>
      </c>
      <c r="AC173" s="1207"/>
      <c r="AD173" s="1207"/>
      <c r="AE173" s="958">
        <f t="shared" si="247"/>
        <v>0</v>
      </c>
      <c r="AF173" s="958">
        <f t="shared" si="237"/>
        <v>0</v>
      </c>
      <c r="AG173" s="1353"/>
      <c r="AH173" s="722"/>
      <c r="AI173" s="722"/>
      <c r="AJ173" s="1355"/>
      <c r="AK173" s="1356"/>
      <c r="AL173" s="1357"/>
      <c r="AM173" s="1224">
        <f t="shared" si="238"/>
        <v>0.5</v>
      </c>
      <c r="AN173" s="1225">
        <f t="shared" si="239"/>
        <v>7</v>
      </c>
      <c r="AO173" s="958">
        <f t="shared" si="240"/>
        <v>1</v>
      </c>
      <c r="AP173" s="958">
        <f t="shared" si="241"/>
        <v>3</v>
      </c>
      <c r="AQ173" s="722"/>
      <c r="AR173" s="722" t="s">
        <v>562</v>
      </c>
      <c r="AS173" s="722" t="s">
        <v>562</v>
      </c>
      <c r="AT173" s="722"/>
      <c r="AU173" s="818"/>
      <c r="AV173" s="722" t="s">
        <v>562</v>
      </c>
      <c r="AW173" s="722" t="s">
        <v>587</v>
      </c>
      <c r="AX173" s="1224">
        <f t="shared" si="242"/>
        <v>0.4</v>
      </c>
      <c r="AY173" s="1225">
        <f t="shared" si="243"/>
        <v>4</v>
      </c>
      <c r="AZ173" s="958">
        <f t="shared" si="244"/>
        <v>0</v>
      </c>
      <c r="BA173" s="958">
        <f t="shared" si="245"/>
        <v>2</v>
      </c>
      <c r="BB173" s="1277"/>
      <c r="BC173" s="823"/>
      <c r="BD173" s="823"/>
      <c r="BE173" s="722" t="s">
        <v>562</v>
      </c>
      <c r="BF173" s="722" t="s">
        <v>562</v>
      </c>
      <c r="BI173" s="1358"/>
      <c r="BJ173" s="535" t="s">
        <v>1426</v>
      </c>
      <c r="BK173" s="569"/>
      <c r="BL173" s="569"/>
      <c r="BM173" s="646"/>
    </row>
    <row r="174" spans="1:65" ht="26.25">
      <c r="B174" s="536" t="s">
        <v>1351</v>
      </c>
      <c r="C174" s="595" t="s">
        <v>1364</v>
      </c>
      <c r="D174" s="1207">
        <f t="shared" si="228"/>
        <v>20</v>
      </c>
      <c r="E174" s="1207">
        <f t="shared" si="229"/>
        <v>2</v>
      </c>
      <c r="F174" s="1207">
        <f t="shared" si="230"/>
        <v>18</v>
      </c>
      <c r="G174" s="1272">
        <f t="shared" si="231"/>
        <v>2</v>
      </c>
      <c r="H174" s="1272">
        <f t="shared" si="231"/>
        <v>9</v>
      </c>
      <c r="I174" s="1224">
        <f t="shared" si="232"/>
        <v>0.5</v>
      </c>
      <c r="J174" s="1225">
        <f t="shared" si="233"/>
        <v>4</v>
      </c>
      <c r="K174" s="958">
        <f t="shared" si="234"/>
        <v>0</v>
      </c>
      <c r="L174" s="1273">
        <f t="shared" si="235"/>
        <v>2</v>
      </c>
      <c r="M174" s="1353" t="s">
        <v>562</v>
      </c>
      <c r="N174" s="722"/>
      <c r="O174" s="722" t="s">
        <v>562</v>
      </c>
      <c r="P174" s="1354"/>
      <c r="Q174" s="1211"/>
      <c r="R174" s="1207"/>
      <c r="S174" s="963">
        <f t="shared" si="246"/>
        <v>1</v>
      </c>
      <c r="T174" s="958">
        <f t="shared" si="236"/>
        <v>4</v>
      </c>
      <c r="U174" s="722" t="s">
        <v>587</v>
      </c>
      <c r="V174" s="722"/>
      <c r="W174" s="722" t="s">
        <v>562</v>
      </c>
      <c r="X174" s="722"/>
      <c r="Y174" s="723" t="s">
        <v>562</v>
      </c>
      <c r="Z174" s="1277" t="s">
        <v>562</v>
      </c>
      <c r="AA174" s="1277"/>
      <c r="AB174" s="722" t="s">
        <v>562</v>
      </c>
      <c r="AC174" s="1207"/>
      <c r="AD174" s="1207"/>
      <c r="AE174" s="958">
        <f t="shared" si="247"/>
        <v>0</v>
      </c>
      <c r="AF174" s="958">
        <f t="shared" si="237"/>
        <v>0</v>
      </c>
      <c r="AG174" s="1353"/>
      <c r="AH174" s="722"/>
      <c r="AI174" s="722"/>
      <c r="AJ174" s="1355"/>
      <c r="AK174" s="1356"/>
      <c r="AL174" s="1357"/>
      <c r="AM174" s="1224">
        <f t="shared" si="238"/>
        <v>0.21428571428571427</v>
      </c>
      <c r="AN174" s="1225">
        <f t="shared" si="239"/>
        <v>3</v>
      </c>
      <c r="AO174" s="958">
        <f t="shared" si="240"/>
        <v>1</v>
      </c>
      <c r="AP174" s="958">
        <f t="shared" si="241"/>
        <v>1</v>
      </c>
      <c r="AQ174" s="722"/>
      <c r="AR174" s="722"/>
      <c r="AS174" s="722"/>
      <c r="AT174" s="722"/>
      <c r="AU174" s="818"/>
      <c r="AV174" s="722" t="s">
        <v>562</v>
      </c>
      <c r="AW174" s="722" t="s">
        <v>587</v>
      </c>
      <c r="AX174" s="1224">
        <f t="shared" si="242"/>
        <v>0.4</v>
      </c>
      <c r="AY174" s="1225">
        <f t="shared" si="243"/>
        <v>4</v>
      </c>
      <c r="AZ174" s="958">
        <f t="shared" si="244"/>
        <v>0</v>
      </c>
      <c r="BA174" s="958">
        <f t="shared" si="245"/>
        <v>2</v>
      </c>
      <c r="BB174" s="1277"/>
      <c r="BC174" s="823"/>
      <c r="BD174" s="823"/>
      <c r="BE174" s="722" t="s">
        <v>562</v>
      </c>
      <c r="BF174" s="722" t="s">
        <v>562</v>
      </c>
      <c r="BI174" s="1358"/>
      <c r="BJ174" s="535" t="s">
        <v>1352</v>
      </c>
      <c r="BK174" s="569"/>
      <c r="BL174" s="569"/>
      <c r="BM174" s="646"/>
    </row>
    <row r="175" spans="1:65" ht="39">
      <c r="B175" s="536" t="s">
        <v>1350</v>
      </c>
      <c r="C175" s="595" t="s">
        <v>1365</v>
      </c>
      <c r="D175" s="1207">
        <f t="shared" si="228"/>
        <v>25</v>
      </c>
      <c r="E175" s="1207">
        <f t="shared" si="229"/>
        <v>1</v>
      </c>
      <c r="F175" s="1207">
        <f t="shared" si="230"/>
        <v>24</v>
      </c>
      <c r="G175" s="1272">
        <f t="shared" si="231"/>
        <v>1</v>
      </c>
      <c r="H175" s="1272">
        <f t="shared" si="231"/>
        <v>12</v>
      </c>
      <c r="I175" s="1224">
        <f t="shared" si="232"/>
        <v>0.5</v>
      </c>
      <c r="J175" s="1225">
        <f t="shared" si="233"/>
        <v>4</v>
      </c>
      <c r="K175" s="958">
        <f t="shared" si="234"/>
        <v>0</v>
      </c>
      <c r="L175" s="1273">
        <f t="shared" si="235"/>
        <v>2</v>
      </c>
      <c r="M175" s="1353" t="s">
        <v>562</v>
      </c>
      <c r="N175" s="722"/>
      <c r="O175" s="722" t="s">
        <v>562</v>
      </c>
      <c r="P175" s="1354"/>
      <c r="Q175" s="1211"/>
      <c r="R175" s="1207"/>
      <c r="S175" s="963">
        <f t="shared" si="246"/>
        <v>0</v>
      </c>
      <c r="T175" s="958">
        <f t="shared" si="236"/>
        <v>5</v>
      </c>
      <c r="U175" s="722" t="s">
        <v>562</v>
      </c>
      <c r="V175" s="722"/>
      <c r="W175" s="722" t="s">
        <v>562</v>
      </c>
      <c r="X175" s="722"/>
      <c r="Y175" s="723" t="s">
        <v>562</v>
      </c>
      <c r="Z175" s="1277" t="s">
        <v>562</v>
      </c>
      <c r="AA175" s="1277"/>
      <c r="AB175" s="722" t="s">
        <v>562</v>
      </c>
      <c r="AC175" s="1207"/>
      <c r="AD175" s="1207"/>
      <c r="AE175" s="958">
        <f t="shared" si="247"/>
        <v>0</v>
      </c>
      <c r="AF175" s="958">
        <f t="shared" si="237"/>
        <v>0</v>
      </c>
      <c r="AG175" s="1353"/>
      <c r="AH175" s="722"/>
      <c r="AI175" s="722"/>
      <c r="AJ175" s="1355"/>
      <c r="AK175" s="1356"/>
      <c r="AL175" s="1357"/>
      <c r="AM175" s="1224">
        <f t="shared" si="238"/>
        <v>0.5</v>
      </c>
      <c r="AN175" s="1225">
        <f t="shared" si="239"/>
        <v>7</v>
      </c>
      <c r="AO175" s="958">
        <f t="shared" si="240"/>
        <v>1</v>
      </c>
      <c r="AP175" s="958">
        <f t="shared" si="241"/>
        <v>3</v>
      </c>
      <c r="AQ175" s="722"/>
      <c r="AR175" s="722" t="s">
        <v>562</v>
      </c>
      <c r="AS175" s="722" t="s">
        <v>562</v>
      </c>
      <c r="AT175" s="722"/>
      <c r="AU175" s="818"/>
      <c r="AV175" s="722" t="s">
        <v>562</v>
      </c>
      <c r="AW175" s="722" t="s">
        <v>587</v>
      </c>
      <c r="AX175" s="1224">
        <f t="shared" si="242"/>
        <v>0.4</v>
      </c>
      <c r="AY175" s="1225">
        <f t="shared" si="243"/>
        <v>4</v>
      </c>
      <c r="AZ175" s="958">
        <f t="shared" si="244"/>
        <v>0</v>
      </c>
      <c r="BA175" s="958">
        <f t="shared" si="245"/>
        <v>2</v>
      </c>
      <c r="BB175" s="1277"/>
      <c r="BC175" s="823"/>
      <c r="BD175" s="823"/>
      <c r="BE175" s="722" t="s">
        <v>562</v>
      </c>
      <c r="BF175" s="722" t="s">
        <v>562</v>
      </c>
      <c r="BI175" s="1358"/>
      <c r="BJ175" s="535" t="s">
        <v>1349</v>
      </c>
      <c r="BK175" s="569"/>
      <c r="BL175" s="569"/>
      <c r="BM175" s="646"/>
    </row>
    <row r="176" spans="1:65">
      <c r="B176" s="530" t="s">
        <v>1354</v>
      </c>
      <c r="C176" s="595" t="s">
        <v>1366</v>
      </c>
      <c r="D176" s="1207">
        <f t="shared" si="228"/>
        <v>18</v>
      </c>
      <c r="E176" s="1207">
        <f t="shared" si="229"/>
        <v>6</v>
      </c>
      <c r="F176" s="1207">
        <f t="shared" si="230"/>
        <v>12</v>
      </c>
      <c r="G176" s="1272">
        <f t="shared" si="231"/>
        <v>6</v>
      </c>
      <c r="H176" s="1272">
        <f t="shared" si="231"/>
        <v>6</v>
      </c>
      <c r="I176" s="1224">
        <f t="shared" si="232"/>
        <v>0.5</v>
      </c>
      <c r="J176" s="1225">
        <f t="shared" si="233"/>
        <v>4</v>
      </c>
      <c r="K176" s="958">
        <f t="shared" si="234"/>
        <v>0</v>
      </c>
      <c r="L176" s="1273">
        <f t="shared" si="235"/>
        <v>2</v>
      </c>
      <c r="M176" s="1353" t="s">
        <v>562</v>
      </c>
      <c r="N176" s="722"/>
      <c r="O176" s="722" t="s">
        <v>562</v>
      </c>
      <c r="P176" s="1354"/>
      <c r="Q176" s="1211"/>
      <c r="R176" s="1207"/>
      <c r="S176" s="963">
        <f t="shared" si="246"/>
        <v>2</v>
      </c>
      <c r="T176" s="958">
        <f t="shared" si="236"/>
        <v>3</v>
      </c>
      <c r="U176" s="722" t="s">
        <v>587</v>
      </c>
      <c r="V176" s="722"/>
      <c r="W176" s="722" t="s">
        <v>562</v>
      </c>
      <c r="X176" s="722"/>
      <c r="Y176" s="723" t="s">
        <v>562</v>
      </c>
      <c r="Z176" s="1277" t="s">
        <v>562</v>
      </c>
      <c r="AA176" s="1277"/>
      <c r="AB176" s="722" t="s">
        <v>587</v>
      </c>
      <c r="AC176" s="1207"/>
      <c r="AD176" s="1207"/>
      <c r="AE176" s="958">
        <f t="shared" si="247"/>
        <v>0</v>
      </c>
      <c r="AF176" s="958">
        <f t="shared" si="237"/>
        <v>0</v>
      </c>
      <c r="AG176" s="1353"/>
      <c r="AH176" s="722"/>
      <c r="AI176" s="722"/>
      <c r="AJ176" s="1355"/>
      <c r="AK176" s="1356"/>
      <c r="AL176" s="1357"/>
      <c r="AM176" s="1224">
        <f t="shared" si="238"/>
        <v>0.2857142857142857</v>
      </c>
      <c r="AN176" s="1225">
        <f t="shared" si="239"/>
        <v>4</v>
      </c>
      <c r="AO176" s="958">
        <f t="shared" si="240"/>
        <v>2</v>
      </c>
      <c r="AP176" s="958">
        <f t="shared" si="241"/>
        <v>1</v>
      </c>
      <c r="AQ176" s="722"/>
      <c r="AR176" s="722" t="s">
        <v>587</v>
      </c>
      <c r="AS176" s="722"/>
      <c r="AT176" s="722"/>
      <c r="AU176" s="818"/>
      <c r="AV176" s="722" t="s">
        <v>562</v>
      </c>
      <c r="AW176" s="722" t="s">
        <v>587</v>
      </c>
      <c r="AX176" s="1224">
        <f t="shared" si="242"/>
        <v>0.2</v>
      </c>
      <c r="AY176" s="1225">
        <f t="shared" si="243"/>
        <v>2</v>
      </c>
      <c r="AZ176" s="958">
        <f t="shared" si="244"/>
        <v>2</v>
      </c>
      <c r="BA176" s="958">
        <f t="shared" si="245"/>
        <v>0</v>
      </c>
      <c r="BB176" s="1277"/>
      <c r="BC176" s="823"/>
      <c r="BD176" s="823"/>
      <c r="BE176" s="722" t="s">
        <v>587</v>
      </c>
      <c r="BF176" s="722" t="s">
        <v>587</v>
      </c>
      <c r="BI176" s="1358"/>
      <c r="BJ176" s="535" t="s">
        <v>1427</v>
      </c>
      <c r="BK176" s="569"/>
      <c r="BL176" s="569"/>
      <c r="BM176" s="646"/>
    </row>
    <row r="177" spans="1:65">
      <c r="B177" s="530" t="s">
        <v>1355</v>
      </c>
      <c r="C177" s="595" t="s">
        <v>1367</v>
      </c>
      <c r="D177" s="1207">
        <f t="shared" si="228"/>
        <v>26</v>
      </c>
      <c r="E177" s="1207">
        <f t="shared" si="229"/>
        <v>0</v>
      </c>
      <c r="F177" s="1207">
        <f t="shared" si="230"/>
        <v>26</v>
      </c>
      <c r="G177" s="1272">
        <f t="shared" si="231"/>
        <v>0</v>
      </c>
      <c r="H177" s="1272">
        <f t="shared" si="231"/>
        <v>13</v>
      </c>
      <c r="I177" s="1224">
        <f t="shared" si="232"/>
        <v>0.75</v>
      </c>
      <c r="J177" s="1225">
        <f t="shared" si="233"/>
        <v>6</v>
      </c>
      <c r="K177" s="958">
        <f t="shared" si="234"/>
        <v>0</v>
      </c>
      <c r="L177" s="1273">
        <f t="shared" si="235"/>
        <v>3</v>
      </c>
      <c r="M177" s="1353" t="s">
        <v>562</v>
      </c>
      <c r="N177" s="722" t="s">
        <v>562</v>
      </c>
      <c r="O177" s="722" t="s">
        <v>562</v>
      </c>
      <c r="P177" s="1354"/>
      <c r="Q177" s="1211"/>
      <c r="R177" s="1207"/>
      <c r="S177" s="963">
        <f t="shared" si="246"/>
        <v>0</v>
      </c>
      <c r="T177" s="958">
        <f t="shared" si="236"/>
        <v>5</v>
      </c>
      <c r="U177" s="722" t="s">
        <v>562</v>
      </c>
      <c r="V177" s="722"/>
      <c r="W177" s="722" t="s">
        <v>562</v>
      </c>
      <c r="X177" s="722"/>
      <c r="Y177" s="723" t="s">
        <v>562</v>
      </c>
      <c r="Z177" s="1277" t="s">
        <v>562</v>
      </c>
      <c r="AA177" s="1277"/>
      <c r="AB177" s="722" t="s">
        <v>562</v>
      </c>
      <c r="AC177" s="1207"/>
      <c r="AD177" s="1207"/>
      <c r="AE177" s="958">
        <f t="shared" si="247"/>
        <v>0</v>
      </c>
      <c r="AF177" s="958">
        <f t="shared" si="237"/>
        <v>0</v>
      </c>
      <c r="AG177" s="1353"/>
      <c r="AH177" s="722"/>
      <c r="AI177" s="722"/>
      <c r="AJ177" s="1355"/>
      <c r="AK177" s="1356"/>
      <c r="AL177" s="1357"/>
      <c r="AM177" s="1224">
        <f t="shared" si="238"/>
        <v>0.7142857142857143</v>
      </c>
      <c r="AN177" s="1225">
        <f t="shared" si="239"/>
        <v>10</v>
      </c>
      <c r="AO177" s="958">
        <f t="shared" si="240"/>
        <v>0</v>
      </c>
      <c r="AP177" s="958">
        <f t="shared" si="241"/>
        <v>5</v>
      </c>
      <c r="AQ177" s="722"/>
      <c r="AR177" s="722" t="s">
        <v>562</v>
      </c>
      <c r="AS177" s="722"/>
      <c r="AT177" s="722" t="s">
        <v>562</v>
      </c>
      <c r="AU177" s="818" t="s">
        <v>562</v>
      </c>
      <c r="AV177" s="722" t="s">
        <v>562</v>
      </c>
      <c r="AW177" s="722" t="s">
        <v>562</v>
      </c>
      <c r="AX177" s="1224">
        <f t="shared" si="242"/>
        <v>0</v>
      </c>
      <c r="AY177" s="1225">
        <f t="shared" si="243"/>
        <v>0</v>
      </c>
      <c r="AZ177" s="958">
        <f t="shared" si="244"/>
        <v>0</v>
      </c>
      <c r="BA177" s="958">
        <f t="shared" si="245"/>
        <v>0</v>
      </c>
      <c r="BB177" s="1277"/>
      <c r="BC177" s="823"/>
      <c r="BD177" s="823"/>
      <c r="BE177" s="723" t="s">
        <v>384</v>
      </c>
      <c r="BF177" s="723" t="s">
        <v>384</v>
      </c>
      <c r="BI177" s="1358"/>
      <c r="BJ177" s="535" t="s">
        <v>1356</v>
      </c>
      <c r="BK177" s="569"/>
      <c r="BL177" s="569"/>
      <c r="BM177" s="646"/>
    </row>
    <row r="178" spans="1:65" s="966" customFormat="1" ht="12.75">
      <c r="A178" s="958" t="s">
        <v>1589</v>
      </c>
      <c r="B178" s="967"/>
      <c r="C178" s="423"/>
      <c r="D178" s="571"/>
      <c r="E178" s="571"/>
      <c r="F178" s="571"/>
      <c r="G178" s="1272"/>
      <c r="H178" s="1272"/>
      <c r="I178" s="1251"/>
      <c r="J178" s="1251"/>
      <c r="K178" s="1279"/>
      <c r="L178" s="1279"/>
      <c r="M178" s="683">
        <f>COUNTIF(M167:M177, "M")</f>
        <v>0</v>
      </c>
      <c r="N178" s="683">
        <f t="shared" ref="N178:BF178" si="248">COUNTIF(N167:N177, "M")</f>
        <v>1</v>
      </c>
      <c r="O178" s="683">
        <f t="shared" si="248"/>
        <v>0</v>
      </c>
      <c r="P178" s="666">
        <f t="shared" si="248"/>
        <v>0</v>
      </c>
      <c r="Q178" s="1252"/>
      <c r="R178" s="286"/>
      <c r="S178" s="651"/>
      <c r="T178" s="683"/>
      <c r="U178" s="683">
        <f t="shared" si="248"/>
        <v>7</v>
      </c>
      <c r="V178" s="683">
        <f t="shared" si="248"/>
        <v>0</v>
      </c>
      <c r="W178" s="683">
        <f t="shared" si="248"/>
        <v>0</v>
      </c>
      <c r="X178" s="683">
        <f t="shared" si="248"/>
        <v>0</v>
      </c>
      <c r="Y178" s="683">
        <f t="shared" si="248"/>
        <v>0</v>
      </c>
      <c r="Z178" s="683">
        <f t="shared" si="248"/>
        <v>0</v>
      </c>
      <c r="AA178" s="683">
        <f t="shared" si="248"/>
        <v>0</v>
      </c>
      <c r="AB178" s="683">
        <f t="shared" si="248"/>
        <v>2</v>
      </c>
      <c r="AC178" s="1252"/>
      <c r="AD178" s="1252"/>
      <c r="AE178" s="683"/>
      <c r="AF178" s="683"/>
      <c r="AG178" s="683">
        <f t="shared" si="248"/>
        <v>0</v>
      </c>
      <c r="AH178" s="683">
        <f t="shared" si="248"/>
        <v>0</v>
      </c>
      <c r="AI178" s="683">
        <f t="shared" si="248"/>
        <v>0</v>
      </c>
      <c r="AJ178" s="683">
        <f t="shared" si="248"/>
        <v>0</v>
      </c>
      <c r="AK178" s="683">
        <f t="shared" si="248"/>
        <v>0</v>
      </c>
      <c r="AL178" s="683">
        <f t="shared" si="248"/>
        <v>0</v>
      </c>
      <c r="AM178" s="1252"/>
      <c r="AN178" s="1252"/>
      <c r="AO178" s="683"/>
      <c r="AP178" s="683"/>
      <c r="AQ178" s="683">
        <f t="shared" si="248"/>
        <v>0</v>
      </c>
      <c r="AR178" s="683">
        <f t="shared" si="248"/>
        <v>1</v>
      </c>
      <c r="AS178" s="683">
        <f t="shared" si="248"/>
        <v>0</v>
      </c>
      <c r="AT178" s="683">
        <f t="shared" si="248"/>
        <v>0</v>
      </c>
      <c r="AU178" s="683">
        <f t="shared" si="248"/>
        <v>2</v>
      </c>
      <c r="AV178" s="683">
        <f t="shared" si="248"/>
        <v>0</v>
      </c>
      <c r="AW178" s="683">
        <f t="shared" si="248"/>
        <v>4</v>
      </c>
      <c r="AX178" s="1252"/>
      <c r="AY178" s="1252"/>
      <c r="AZ178" s="683"/>
      <c r="BA178" s="683"/>
      <c r="BB178" s="683">
        <f t="shared" si="248"/>
        <v>0</v>
      </c>
      <c r="BC178" s="683">
        <f t="shared" si="248"/>
        <v>0</v>
      </c>
      <c r="BD178" s="683">
        <f t="shared" si="248"/>
        <v>1</v>
      </c>
      <c r="BE178" s="683">
        <f t="shared" si="248"/>
        <v>2</v>
      </c>
      <c r="BF178" s="683">
        <f t="shared" si="248"/>
        <v>2</v>
      </c>
      <c r="BI178" s="1280"/>
      <c r="BJ178" s="535"/>
      <c r="BK178" s="569"/>
      <c r="BL178" s="569"/>
      <c r="BM178" s="1277"/>
    </row>
    <row r="179" spans="1:65" s="966" customFormat="1" ht="12.75">
      <c r="A179" s="958" t="s">
        <v>1590</v>
      </c>
      <c r="B179" s="530"/>
      <c r="C179" s="423"/>
      <c r="D179" s="571"/>
      <c r="E179" s="571"/>
      <c r="F179" s="571"/>
      <c r="G179" s="1272"/>
      <c r="H179" s="1272"/>
      <c r="I179" s="1251"/>
      <c r="J179" s="1251"/>
      <c r="K179" s="1279"/>
      <c r="L179" s="1279"/>
      <c r="M179" s="683">
        <f>COUNTIF(M167:M177, "H")</f>
        <v>10</v>
      </c>
      <c r="N179" s="683">
        <f t="shared" ref="N179:BF179" si="249">COUNTIF(N167:N177, "H")</f>
        <v>3</v>
      </c>
      <c r="O179" s="683">
        <f t="shared" si="249"/>
        <v>11</v>
      </c>
      <c r="P179" s="666">
        <f t="shared" si="249"/>
        <v>0</v>
      </c>
      <c r="Q179" s="1252"/>
      <c r="R179" s="286"/>
      <c r="S179" s="651"/>
      <c r="T179" s="683"/>
      <c r="U179" s="683">
        <f t="shared" si="249"/>
        <v>4</v>
      </c>
      <c r="V179" s="683">
        <f t="shared" si="249"/>
        <v>0</v>
      </c>
      <c r="W179" s="683">
        <f t="shared" si="249"/>
        <v>11</v>
      </c>
      <c r="X179" s="683">
        <f t="shared" si="249"/>
        <v>0</v>
      </c>
      <c r="Y179" s="683">
        <f t="shared" si="249"/>
        <v>8</v>
      </c>
      <c r="Z179" s="683">
        <f t="shared" si="249"/>
        <v>8</v>
      </c>
      <c r="AA179" s="683">
        <f t="shared" si="249"/>
        <v>0</v>
      </c>
      <c r="AB179" s="683">
        <f t="shared" si="249"/>
        <v>8</v>
      </c>
      <c r="AC179" s="1252"/>
      <c r="AD179" s="1252"/>
      <c r="AE179" s="683"/>
      <c r="AF179" s="683"/>
      <c r="AG179" s="683">
        <f t="shared" si="249"/>
        <v>0</v>
      </c>
      <c r="AH179" s="683">
        <f t="shared" si="249"/>
        <v>0</v>
      </c>
      <c r="AI179" s="683">
        <f t="shared" si="249"/>
        <v>0</v>
      </c>
      <c r="AJ179" s="683">
        <f t="shared" si="249"/>
        <v>0</v>
      </c>
      <c r="AK179" s="683">
        <f t="shared" si="249"/>
        <v>0</v>
      </c>
      <c r="AL179" s="683">
        <f t="shared" si="249"/>
        <v>0</v>
      </c>
      <c r="AM179" s="1252"/>
      <c r="AN179" s="1252"/>
      <c r="AO179" s="683"/>
      <c r="AP179" s="683"/>
      <c r="AQ179" s="683">
        <f t="shared" si="249"/>
        <v>0</v>
      </c>
      <c r="AR179" s="683">
        <f t="shared" si="249"/>
        <v>5</v>
      </c>
      <c r="AS179" s="683">
        <f t="shared" si="249"/>
        <v>3</v>
      </c>
      <c r="AT179" s="683">
        <f t="shared" si="249"/>
        <v>1</v>
      </c>
      <c r="AU179" s="683">
        <f t="shared" si="249"/>
        <v>1</v>
      </c>
      <c r="AV179" s="683">
        <f t="shared" si="249"/>
        <v>8</v>
      </c>
      <c r="AW179" s="683">
        <f t="shared" si="249"/>
        <v>4</v>
      </c>
      <c r="AX179" s="1252"/>
      <c r="AY179" s="1252"/>
      <c r="AZ179" s="683"/>
      <c r="BA179" s="683"/>
      <c r="BB179" s="683">
        <f t="shared" si="249"/>
        <v>0</v>
      </c>
      <c r="BC179" s="683">
        <f t="shared" si="249"/>
        <v>0</v>
      </c>
      <c r="BD179" s="683">
        <f t="shared" si="249"/>
        <v>0</v>
      </c>
      <c r="BE179" s="683">
        <f t="shared" si="249"/>
        <v>8</v>
      </c>
      <c r="BF179" s="683">
        <f t="shared" si="249"/>
        <v>8</v>
      </c>
      <c r="BI179" s="1280"/>
      <c r="BJ179" s="535"/>
      <c r="BK179" s="569"/>
      <c r="BL179" s="569"/>
      <c r="BM179" s="1277"/>
    </row>
    <row r="180" spans="1:65">
      <c r="D180" s="404"/>
      <c r="E180" s="404"/>
      <c r="F180" s="404"/>
      <c r="M180" s="1360"/>
      <c r="N180" s="1361"/>
      <c r="O180" s="1361"/>
      <c r="P180" s="1362"/>
      <c r="Q180" s="1363"/>
      <c r="R180" s="1068"/>
      <c r="AG180" s="290"/>
      <c r="AH180" s="290"/>
      <c r="AI180" s="290"/>
      <c r="AJ180" s="290"/>
      <c r="AK180" s="290"/>
      <c r="AL180" s="290"/>
      <c r="AM180" s="510"/>
      <c r="AN180" s="510"/>
      <c r="AO180" s="1347"/>
      <c r="AP180" s="1347"/>
      <c r="AQ180" s="290"/>
      <c r="AR180" s="290"/>
      <c r="AS180" s="290"/>
      <c r="AT180" s="290"/>
      <c r="AU180" s="290"/>
      <c r="AV180" s="290"/>
      <c r="AW180" s="290"/>
      <c r="AX180" s="510"/>
      <c r="AY180" s="510"/>
      <c r="AZ180" s="1347"/>
      <c r="BA180" s="1347"/>
      <c r="BB180" s="290"/>
      <c r="BC180" s="290"/>
      <c r="BD180" s="290"/>
      <c r="BE180" s="290"/>
      <c r="BF180" s="290"/>
    </row>
    <row r="181" spans="1:65">
      <c r="C181" s="404"/>
      <c r="D181" s="404"/>
      <c r="E181" s="404"/>
      <c r="F181" s="404"/>
      <c r="K181" s="1364"/>
      <c r="L181" s="1364"/>
      <c r="M181" s="1211"/>
      <c r="N181" s="1361"/>
      <c r="O181" s="1361"/>
      <c r="P181" s="1362"/>
      <c r="Q181" s="1363"/>
      <c r="R181" s="1068"/>
    </row>
    <row r="182" spans="1:65" s="1031" customFormat="1" ht="12.75">
      <c r="A182" s="1030" t="s">
        <v>1589</v>
      </c>
      <c r="C182" s="1365"/>
      <c r="D182" s="1076"/>
      <c r="E182" s="1076"/>
      <c r="F182" s="1076"/>
      <c r="G182" s="1366"/>
      <c r="H182" s="1366"/>
      <c r="I182" s="1367"/>
      <c r="J182" s="1367"/>
      <c r="K182" s="1368"/>
      <c r="L182" s="1369"/>
      <c r="M182" s="1370">
        <f>SUM(M24+M41+M57+M81+M97+M112+M132+M145+M150+M161+M178)</f>
        <v>41</v>
      </c>
      <c r="N182" s="1368">
        <f t="shared" ref="N182:BF183" si="250">SUM(N24+N41+N57+N81+N97+N112+N132+N145+N150+N161+N178)</f>
        <v>20</v>
      </c>
      <c r="O182" s="1368">
        <f t="shared" si="250"/>
        <v>41</v>
      </c>
      <c r="P182" s="1371">
        <f t="shared" si="250"/>
        <v>2</v>
      </c>
      <c r="Q182" s="1372"/>
      <c r="R182" s="272"/>
      <c r="S182" s="1373"/>
      <c r="T182" s="1368"/>
      <c r="U182" s="1368">
        <f t="shared" si="250"/>
        <v>54</v>
      </c>
      <c r="V182" s="1368">
        <f t="shared" si="250"/>
        <v>29</v>
      </c>
      <c r="W182" s="1368">
        <f t="shared" si="250"/>
        <v>13</v>
      </c>
      <c r="X182" s="1368">
        <f t="shared" si="250"/>
        <v>0</v>
      </c>
      <c r="Y182" s="1368">
        <f t="shared" si="250"/>
        <v>36</v>
      </c>
      <c r="Z182" s="1368">
        <f t="shared" si="250"/>
        <v>28</v>
      </c>
      <c r="AA182" s="1368">
        <f t="shared" si="250"/>
        <v>3</v>
      </c>
      <c r="AB182" s="1368">
        <f t="shared" si="250"/>
        <v>36</v>
      </c>
      <c r="AC182" s="272"/>
      <c r="AD182" s="272"/>
      <c r="AE182" s="1368"/>
      <c r="AF182" s="1368"/>
      <c r="AG182" s="1368">
        <f t="shared" si="250"/>
        <v>0</v>
      </c>
      <c r="AH182" s="1368">
        <f t="shared" si="250"/>
        <v>0</v>
      </c>
      <c r="AI182" s="1368">
        <f t="shared" si="250"/>
        <v>0</v>
      </c>
      <c r="AJ182" s="1368">
        <f t="shared" si="250"/>
        <v>0</v>
      </c>
      <c r="AK182" s="1368">
        <f t="shared" si="250"/>
        <v>0</v>
      </c>
      <c r="AL182" s="1368">
        <f t="shared" si="250"/>
        <v>0</v>
      </c>
      <c r="AM182" s="272"/>
      <c r="AN182" s="272"/>
      <c r="AO182" s="1368"/>
      <c r="AP182" s="1368"/>
      <c r="AQ182" s="1368">
        <f t="shared" si="250"/>
        <v>51</v>
      </c>
      <c r="AR182" s="1368">
        <f t="shared" si="250"/>
        <v>25</v>
      </c>
      <c r="AS182" s="1368">
        <f t="shared" si="250"/>
        <v>19</v>
      </c>
      <c r="AT182" s="1368">
        <f t="shared" si="250"/>
        <v>7</v>
      </c>
      <c r="AU182" s="1368">
        <f t="shared" si="250"/>
        <v>4</v>
      </c>
      <c r="AV182" s="1368">
        <f t="shared" si="250"/>
        <v>3</v>
      </c>
      <c r="AW182" s="1368">
        <f t="shared" si="250"/>
        <v>24</v>
      </c>
      <c r="AX182" s="272"/>
      <c r="AY182" s="272"/>
      <c r="AZ182" s="1368"/>
      <c r="BA182" s="1368"/>
      <c r="BB182" s="1368">
        <f t="shared" si="250"/>
        <v>0</v>
      </c>
      <c r="BC182" s="1368">
        <f t="shared" si="250"/>
        <v>20</v>
      </c>
      <c r="BD182" s="1368">
        <f t="shared" si="250"/>
        <v>26</v>
      </c>
      <c r="BE182" s="1368">
        <f t="shared" si="250"/>
        <v>62</v>
      </c>
      <c r="BF182" s="1368">
        <f t="shared" si="250"/>
        <v>28</v>
      </c>
      <c r="BI182" s="1374"/>
      <c r="BJ182" s="1375"/>
      <c r="BK182" s="1038"/>
      <c r="BL182" s="1038"/>
      <c r="BM182" s="1376"/>
    </row>
    <row r="183" spans="1:65" s="1031" customFormat="1" ht="12.75">
      <c r="A183" s="1030" t="s">
        <v>1590</v>
      </c>
      <c r="C183" s="1365"/>
      <c r="D183" s="1076"/>
      <c r="E183" s="1076"/>
      <c r="F183" s="1076"/>
      <c r="G183" s="1366"/>
      <c r="H183" s="1366"/>
      <c r="I183" s="1367"/>
      <c r="J183" s="1367"/>
      <c r="K183" s="1368"/>
      <c r="L183" s="1369"/>
      <c r="M183" s="1370">
        <f>SUM(M25+M42+M58+M82+M98+M113+M133+M146+M151+M162+M179)</f>
        <v>67</v>
      </c>
      <c r="N183" s="1368">
        <f t="shared" si="250"/>
        <v>28</v>
      </c>
      <c r="O183" s="1368">
        <f t="shared" si="250"/>
        <v>100</v>
      </c>
      <c r="P183" s="1371">
        <f t="shared" si="250"/>
        <v>5</v>
      </c>
      <c r="Q183" s="1372"/>
      <c r="R183" s="272"/>
      <c r="S183" s="1373"/>
      <c r="T183" s="1368"/>
      <c r="U183" s="1368">
        <f t="shared" si="250"/>
        <v>46</v>
      </c>
      <c r="V183" s="1368">
        <f t="shared" si="250"/>
        <v>58</v>
      </c>
      <c r="W183" s="1368">
        <f t="shared" si="250"/>
        <v>90</v>
      </c>
      <c r="X183" s="1368">
        <f t="shared" si="250"/>
        <v>0</v>
      </c>
      <c r="Y183" s="1368">
        <f t="shared" si="250"/>
        <v>75</v>
      </c>
      <c r="Z183" s="1368">
        <f t="shared" si="250"/>
        <v>58</v>
      </c>
      <c r="AA183" s="1368">
        <f t="shared" si="250"/>
        <v>48</v>
      </c>
      <c r="AB183" s="1368">
        <f t="shared" si="250"/>
        <v>65</v>
      </c>
      <c r="AC183" s="272"/>
      <c r="AD183" s="272"/>
      <c r="AE183" s="1368"/>
      <c r="AF183" s="1368"/>
      <c r="AG183" s="1368">
        <f t="shared" si="250"/>
        <v>0</v>
      </c>
      <c r="AH183" s="1368">
        <f t="shared" si="250"/>
        <v>0</v>
      </c>
      <c r="AI183" s="1368">
        <f t="shared" si="250"/>
        <v>0</v>
      </c>
      <c r="AJ183" s="1368">
        <f t="shared" si="250"/>
        <v>0</v>
      </c>
      <c r="AK183" s="1368">
        <f t="shared" si="250"/>
        <v>0</v>
      </c>
      <c r="AL183" s="1368">
        <f t="shared" si="250"/>
        <v>0</v>
      </c>
      <c r="AM183" s="272"/>
      <c r="AN183" s="272"/>
      <c r="AO183" s="1368"/>
      <c r="AP183" s="1368"/>
      <c r="AQ183" s="1368">
        <f t="shared" si="250"/>
        <v>28</v>
      </c>
      <c r="AR183" s="1368">
        <f t="shared" si="250"/>
        <v>11</v>
      </c>
      <c r="AS183" s="1368">
        <f t="shared" si="250"/>
        <v>11</v>
      </c>
      <c r="AT183" s="1368">
        <f t="shared" si="250"/>
        <v>10</v>
      </c>
      <c r="AU183" s="1368">
        <f t="shared" si="250"/>
        <v>2</v>
      </c>
      <c r="AV183" s="1368">
        <f t="shared" si="250"/>
        <v>35</v>
      </c>
      <c r="AW183" s="1368">
        <f t="shared" si="250"/>
        <v>13</v>
      </c>
      <c r="AX183" s="272"/>
      <c r="AY183" s="272"/>
      <c r="AZ183" s="1368"/>
      <c r="BA183" s="1368"/>
      <c r="BB183" s="1368">
        <f t="shared" si="250"/>
        <v>5</v>
      </c>
      <c r="BC183" s="1368">
        <f t="shared" si="250"/>
        <v>14</v>
      </c>
      <c r="BD183" s="1368">
        <f t="shared" si="250"/>
        <v>27</v>
      </c>
      <c r="BE183" s="1368">
        <f t="shared" si="250"/>
        <v>70</v>
      </c>
      <c r="BF183" s="1368">
        <f t="shared" si="250"/>
        <v>94</v>
      </c>
      <c r="BI183" s="1374"/>
      <c r="BJ183" s="1375"/>
      <c r="BK183" s="1038"/>
      <c r="BL183" s="1038"/>
      <c r="BM183" s="1376"/>
    </row>
  </sheetData>
  <mergeCells count="74">
    <mergeCell ref="BE1:BF1"/>
    <mergeCell ref="A3:C3"/>
    <mergeCell ref="M3:P3"/>
    <mergeCell ref="U3:AB3"/>
    <mergeCell ref="AG3:AL3"/>
    <mergeCell ref="AQ3:AW3"/>
    <mergeCell ref="BB3:BF3"/>
    <mergeCell ref="BC6:BF6"/>
    <mergeCell ref="AG7:AL7"/>
    <mergeCell ref="AR7:AT7"/>
    <mergeCell ref="BC7:BF7"/>
    <mergeCell ref="AG8:AL8"/>
    <mergeCell ref="A4:C4"/>
    <mergeCell ref="A5:C5"/>
    <mergeCell ref="A6:C10"/>
    <mergeCell ref="AG6:AL6"/>
    <mergeCell ref="AR6:AT6"/>
    <mergeCell ref="BM38:BM39"/>
    <mergeCell ref="AR8:AT8"/>
    <mergeCell ref="BC8:BF8"/>
    <mergeCell ref="AG9:AL9"/>
    <mergeCell ref="AR9:AT9"/>
    <mergeCell ref="BC9:BF9"/>
    <mergeCell ref="AG10:AL10"/>
    <mergeCell ref="AR10:AT10"/>
    <mergeCell ref="BC10:BF10"/>
    <mergeCell ref="A12:A23"/>
    <mergeCell ref="B12:B20"/>
    <mergeCell ref="A26:A40"/>
    <mergeCell ref="B26:B28"/>
    <mergeCell ref="B38:B39"/>
    <mergeCell ref="A43:A56"/>
    <mergeCell ref="B43:B44"/>
    <mergeCell ref="BM47:BM49"/>
    <mergeCell ref="A59:A80"/>
    <mergeCell ref="B59:B64"/>
    <mergeCell ref="AG59:AG64"/>
    <mergeCell ref="AH59:AH64"/>
    <mergeCell ref="BI59:BI64"/>
    <mergeCell ref="BJ59:BJ64"/>
    <mergeCell ref="B65:B71"/>
    <mergeCell ref="BI65:BI71"/>
    <mergeCell ref="BJ65:BJ71"/>
    <mergeCell ref="BM65:BM66"/>
    <mergeCell ref="B72:B73"/>
    <mergeCell ref="BI72:BI73"/>
    <mergeCell ref="BJ72:BJ73"/>
    <mergeCell ref="B76:B77"/>
    <mergeCell ref="BJ76:BJ77"/>
    <mergeCell ref="A83:A91"/>
    <mergeCell ref="B83:B87"/>
    <mergeCell ref="BI83:BI87"/>
    <mergeCell ref="BJ83:BJ87"/>
    <mergeCell ref="B89:B91"/>
    <mergeCell ref="A92:A96"/>
    <mergeCell ref="B92:B96"/>
    <mergeCell ref="BI92:BI96"/>
    <mergeCell ref="BJ92:BJ96"/>
    <mergeCell ref="A99:A111"/>
    <mergeCell ref="B99:B102"/>
    <mergeCell ref="BM101:BM105"/>
    <mergeCell ref="B106:B111"/>
    <mergeCell ref="BI106:BI111"/>
    <mergeCell ref="A114:A131"/>
    <mergeCell ref="B115:B119"/>
    <mergeCell ref="BI115:BI119"/>
    <mergeCell ref="BJ115:BJ119"/>
    <mergeCell ref="B120:B126"/>
    <mergeCell ref="B127:B131"/>
    <mergeCell ref="A134:A144"/>
    <mergeCell ref="B134:B144"/>
    <mergeCell ref="BJ138:BJ139"/>
    <mergeCell ref="A147:A149"/>
    <mergeCell ref="A152:A160"/>
  </mergeCells>
  <pageMargins left="0.25" right="0.25" top="0.75" bottom="0.75" header="0.3" footer="0.3"/>
  <pageSetup scale="12" fitToHeight="0" orientation="landscape" r:id="rId1"/>
  <rowBreaks count="1" manualBreakCount="1">
    <brk id="1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P186"/>
  <sheetViews>
    <sheetView zoomScale="70" zoomScaleNormal="70" workbookViewId="0">
      <pane xSplit="4" ySplit="11" topLeftCell="E12" activePane="bottomRight" state="frozen"/>
      <selection pane="topRight" activeCell="E1" sqref="E1"/>
      <selection pane="bottomLeft" activeCell="A5" sqref="A5"/>
      <selection pane="bottomRight" activeCell="L29" sqref="L29"/>
    </sheetView>
  </sheetViews>
  <sheetFormatPr defaultRowHeight="15.75"/>
  <cols>
    <col min="1" max="1" width="12" style="821" customWidth="1"/>
    <col min="2" max="2" width="11" style="821" customWidth="1"/>
    <col min="3" max="3" width="21.125" style="417" customWidth="1"/>
    <col min="4" max="4" width="17.375" style="821" customWidth="1"/>
    <col min="5" max="5" width="11.875" style="821" customWidth="1"/>
    <col min="6" max="6" width="14" style="821" customWidth="1"/>
    <col min="7" max="15" width="8.125" style="821" customWidth="1"/>
    <col min="16" max="16" width="13.875" style="821" customWidth="1"/>
    <col min="17" max="17" width="8.125" style="821" customWidth="1"/>
    <col min="18" max="23" width="8.625" style="821" customWidth="1"/>
    <col min="24" max="24" width="13.875" style="821" customWidth="1"/>
    <col min="25" max="28" width="8.625" style="821" customWidth="1"/>
    <col min="29" max="29" width="18.625" style="821" customWidth="1"/>
    <col min="30" max="32" width="8.625" style="821" customWidth="1"/>
    <col min="33" max="33" width="3" style="821" customWidth="1"/>
    <col min="34" max="34" width="20.125" style="527" customWidth="1"/>
    <col min="35" max="35" width="64.75" style="527" customWidth="1"/>
    <col min="36" max="36" width="14" style="563" customWidth="1"/>
    <col min="37" max="37" width="20.75" style="563" customWidth="1"/>
    <col min="38" max="38" width="42.875" style="574" customWidth="1"/>
    <col min="39" max="16384" width="9" style="821"/>
  </cols>
  <sheetData>
    <row r="1" spans="1:42" ht="18">
      <c r="A1" s="526" t="s">
        <v>1368</v>
      </c>
      <c r="B1" s="526"/>
      <c r="C1" s="537"/>
      <c r="D1" s="526"/>
      <c r="E1" s="526"/>
      <c r="F1" s="526"/>
      <c r="AL1" s="564" t="s">
        <v>1432</v>
      </c>
    </row>
    <row r="2" spans="1:42" ht="16.5" thickBot="1">
      <c r="AL2" s="564" t="s">
        <v>1433</v>
      </c>
    </row>
    <row r="3" spans="1:42" ht="15.75" customHeight="1" thickTop="1">
      <c r="A3" s="1598" t="s">
        <v>706</v>
      </c>
      <c r="B3" s="1568"/>
      <c r="C3" s="1568"/>
      <c r="D3" s="1568"/>
      <c r="E3" s="852"/>
      <c r="F3" s="824"/>
      <c r="G3" s="1577" t="s">
        <v>842</v>
      </c>
      <c r="H3" s="1596"/>
      <c r="I3" s="1596"/>
      <c r="J3" s="1596"/>
      <c r="K3" s="1596"/>
      <c r="L3" s="1616"/>
      <c r="M3" s="1616"/>
      <c r="N3" s="1616"/>
      <c r="O3" s="1597"/>
      <c r="P3" s="844"/>
      <c r="Q3" s="853"/>
      <c r="R3" s="1584" t="s">
        <v>1333</v>
      </c>
      <c r="S3" s="1584"/>
      <c r="T3" s="1584"/>
      <c r="U3" s="1584"/>
      <c r="V3" s="1584"/>
      <c r="W3" s="854"/>
      <c r="X3" s="844"/>
      <c r="Y3" s="1617" t="s">
        <v>843</v>
      </c>
      <c r="Z3" s="1618"/>
      <c r="AA3" s="1618"/>
      <c r="AB3" s="1619"/>
      <c r="AC3" s="843"/>
      <c r="AD3" s="1577" t="s">
        <v>844</v>
      </c>
      <c r="AE3" s="1596"/>
      <c r="AF3" s="1597"/>
      <c r="AG3" s="455"/>
      <c r="AH3" s="549"/>
      <c r="AI3" s="543"/>
      <c r="AJ3" s="565"/>
      <c r="AK3" s="565"/>
      <c r="AL3" s="566" t="s">
        <v>1434</v>
      </c>
      <c r="AM3" s="404"/>
      <c r="AN3" s="404"/>
      <c r="AO3" s="404"/>
      <c r="AP3" s="404"/>
    </row>
    <row r="4" spans="1:42" ht="72.75" customHeight="1">
      <c r="A4" s="1598" t="s">
        <v>845</v>
      </c>
      <c r="B4" s="1568"/>
      <c r="C4" s="1568"/>
      <c r="D4" s="1568"/>
      <c r="E4" s="855"/>
      <c r="F4" s="856"/>
      <c r="G4" s="857" t="s">
        <v>846</v>
      </c>
      <c r="H4" s="858" t="s">
        <v>847</v>
      </c>
      <c r="I4" s="858" t="s">
        <v>1014</v>
      </c>
      <c r="J4" s="858" t="s">
        <v>1018</v>
      </c>
      <c r="K4" s="858" t="s">
        <v>1035</v>
      </c>
      <c r="L4" s="859" t="s">
        <v>1395</v>
      </c>
      <c r="M4" s="860" t="s">
        <v>1568</v>
      </c>
      <c r="N4" s="860" t="s">
        <v>1569</v>
      </c>
      <c r="O4" s="861" t="s">
        <v>848</v>
      </c>
      <c r="P4" s="862"/>
      <c r="Q4" s="863" t="s">
        <v>1570</v>
      </c>
      <c r="R4" s="864" t="s">
        <v>955</v>
      </c>
      <c r="S4" s="865" t="s">
        <v>966</v>
      </c>
      <c r="T4" s="865" t="s">
        <v>956</v>
      </c>
      <c r="U4" s="858" t="s">
        <v>957</v>
      </c>
      <c r="V4" s="865" t="s">
        <v>958</v>
      </c>
      <c r="W4" s="866" t="s">
        <v>956</v>
      </c>
      <c r="X4" s="867"/>
      <c r="Y4" s="868" t="s">
        <v>1459</v>
      </c>
      <c r="Z4" s="869" t="s">
        <v>1100</v>
      </c>
      <c r="AA4" s="870" t="s">
        <v>1057</v>
      </c>
      <c r="AB4" s="871" t="s">
        <v>1064</v>
      </c>
      <c r="AC4" s="872"/>
      <c r="AD4" s="873" t="s">
        <v>849</v>
      </c>
      <c r="AE4" s="869" t="s">
        <v>850</v>
      </c>
      <c r="AF4" s="874" t="s">
        <v>851</v>
      </c>
      <c r="AG4" s="456"/>
      <c r="AH4" s="550"/>
      <c r="AI4" s="543"/>
      <c r="AJ4" s="565"/>
      <c r="AK4" s="565"/>
      <c r="AL4" s="567"/>
      <c r="AM4" s="404"/>
      <c r="AN4" s="404"/>
      <c r="AO4" s="404"/>
      <c r="AP4" s="404"/>
    </row>
    <row r="5" spans="1:42" ht="41.25" customHeight="1">
      <c r="A5" s="1598" t="s">
        <v>1039</v>
      </c>
      <c r="B5" s="1568"/>
      <c r="C5" s="1568"/>
      <c r="D5" s="1568"/>
      <c r="E5" s="875" t="s">
        <v>1577</v>
      </c>
      <c r="F5" s="824"/>
      <c r="G5" s="876" t="s">
        <v>852</v>
      </c>
      <c r="H5" s="877" t="s">
        <v>853</v>
      </c>
      <c r="I5" s="877" t="s">
        <v>854</v>
      </c>
      <c r="J5" s="877" t="s">
        <v>855</v>
      </c>
      <c r="K5" s="877" t="s">
        <v>1037</v>
      </c>
      <c r="L5" s="878" t="s">
        <v>1332</v>
      </c>
      <c r="M5" s="878"/>
      <c r="N5" s="878"/>
      <c r="O5" s="879" t="s">
        <v>1012</v>
      </c>
      <c r="P5" s="880"/>
      <c r="Q5" s="881"/>
      <c r="R5" s="881" t="s">
        <v>963</v>
      </c>
      <c r="S5" s="420"/>
      <c r="T5" s="420"/>
      <c r="U5" s="882"/>
      <c r="V5" s="883"/>
      <c r="W5" s="884"/>
      <c r="X5" s="885"/>
      <c r="Y5" s="467"/>
      <c r="Z5" s="886"/>
      <c r="AA5" s="887" t="s">
        <v>1058</v>
      </c>
      <c r="AB5" s="888" t="s">
        <v>1059</v>
      </c>
      <c r="AC5" s="889"/>
      <c r="AD5" s="890"/>
      <c r="AE5" s="887"/>
      <c r="AF5" s="459"/>
      <c r="AG5" s="456"/>
      <c r="AH5" s="550"/>
      <c r="AI5" s="543"/>
      <c r="AJ5" s="565"/>
      <c r="AK5" s="565"/>
      <c r="AL5" s="567"/>
      <c r="AM5" s="404"/>
      <c r="AN5" s="404"/>
      <c r="AO5" s="404"/>
      <c r="AP5" s="404"/>
    </row>
    <row r="6" spans="1:42" ht="26.25" hidden="1" customHeight="1">
      <c r="A6" s="1599" t="s">
        <v>1026</v>
      </c>
      <c r="B6" s="1569"/>
      <c r="C6" s="1569"/>
      <c r="D6" s="1569"/>
      <c r="E6" s="891"/>
      <c r="F6" s="825"/>
      <c r="G6" s="1602" t="s">
        <v>1036</v>
      </c>
      <c r="H6" s="1572"/>
      <c r="I6" s="1572"/>
      <c r="J6" s="1572"/>
      <c r="K6" s="1572"/>
      <c r="L6" s="1572"/>
      <c r="M6" s="1572"/>
      <c r="N6" s="1572"/>
      <c r="O6" s="1603"/>
      <c r="P6" s="892"/>
      <c r="Q6" s="893"/>
      <c r="R6" s="1604" t="s">
        <v>1578</v>
      </c>
      <c r="S6" s="1604"/>
      <c r="T6" s="1604"/>
      <c r="U6" s="1604"/>
      <c r="V6" s="1604"/>
      <c r="W6" s="894"/>
      <c r="X6" s="842"/>
      <c r="Y6" s="1605" t="s">
        <v>1396</v>
      </c>
      <c r="Z6" s="1606"/>
      <c r="AA6" s="1606"/>
      <c r="AB6" s="1607"/>
      <c r="AC6" s="895"/>
      <c r="AD6" s="890"/>
      <c r="AE6" s="887"/>
      <c r="AF6" s="459"/>
      <c r="AG6" s="456"/>
      <c r="AH6" s="550"/>
      <c r="AI6" s="543"/>
      <c r="AJ6" s="565"/>
      <c r="AK6" s="565"/>
      <c r="AL6" s="567"/>
      <c r="AM6" s="404"/>
      <c r="AN6" s="404"/>
      <c r="AO6" s="404"/>
      <c r="AP6" s="404"/>
    </row>
    <row r="7" spans="1:42" ht="15" hidden="1" customHeight="1">
      <c r="A7" s="1600"/>
      <c r="B7" s="1570"/>
      <c r="C7" s="1570"/>
      <c r="D7" s="1570"/>
      <c r="E7" s="891"/>
      <c r="F7" s="825"/>
      <c r="G7" s="1608" t="s">
        <v>1032</v>
      </c>
      <c r="H7" s="1609"/>
      <c r="I7" s="1609"/>
      <c r="J7" s="1609"/>
      <c r="K7" s="1609"/>
      <c r="L7" s="1609"/>
      <c r="M7" s="1609"/>
      <c r="N7" s="1609"/>
      <c r="O7" s="1610"/>
      <c r="P7" s="896"/>
      <c r="Q7" s="897"/>
      <c r="R7" s="1558" t="s">
        <v>959</v>
      </c>
      <c r="S7" s="1558"/>
      <c r="T7" s="1558"/>
      <c r="U7" s="1558"/>
      <c r="V7" s="1558"/>
      <c r="W7" s="894"/>
      <c r="X7" s="842"/>
      <c r="Y7" s="1554"/>
      <c r="Z7" s="1555"/>
      <c r="AA7" s="1555"/>
      <c r="AB7" s="1556"/>
      <c r="AC7" s="840"/>
      <c r="AD7" s="890"/>
      <c r="AE7" s="887"/>
      <c r="AF7" s="459"/>
      <c r="AG7" s="456"/>
      <c r="AH7" s="550"/>
      <c r="AI7" s="543"/>
      <c r="AJ7" s="565"/>
      <c r="AK7" s="565"/>
      <c r="AL7" s="567"/>
      <c r="AM7" s="404"/>
      <c r="AN7" s="404"/>
      <c r="AO7" s="404"/>
      <c r="AP7" s="404"/>
    </row>
    <row r="8" spans="1:42" ht="23.25" hidden="1" customHeight="1">
      <c r="A8" s="1600"/>
      <c r="B8" s="1570"/>
      <c r="C8" s="1570"/>
      <c r="D8" s="1570"/>
      <c r="E8" s="891"/>
      <c r="F8" s="825"/>
      <c r="G8" s="1611" t="s">
        <v>1579</v>
      </c>
      <c r="H8" s="1612"/>
      <c r="I8" s="1612"/>
      <c r="J8" s="1612"/>
      <c r="K8" s="1612"/>
      <c r="L8" s="1612"/>
      <c r="M8" s="1612"/>
      <c r="N8" s="1612"/>
      <c r="O8" s="1613"/>
      <c r="P8" s="898"/>
      <c r="Q8" s="899"/>
      <c r="R8" s="1558" t="s">
        <v>962</v>
      </c>
      <c r="S8" s="1558"/>
      <c r="T8" s="1558"/>
      <c r="U8" s="1558"/>
      <c r="V8" s="1558"/>
      <c r="W8" s="894"/>
      <c r="X8" s="842"/>
      <c r="Y8" s="1554"/>
      <c r="Z8" s="1555"/>
      <c r="AA8" s="1555"/>
      <c r="AB8" s="1556"/>
      <c r="AC8" s="840"/>
      <c r="AD8" s="890"/>
      <c r="AE8" s="887"/>
      <c r="AF8" s="459"/>
      <c r="AG8" s="456"/>
      <c r="AH8" s="550"/>
      <c r="AI8" s="543"/>
      <c r="AJ8" s="565"/>
      <c r="AK8" s="565"/>
      <c r="AL8" s="567"/>
      <c r="AM8" s="404"/>
      <c r="AN8" s="404"/>
      <c r="AO8" s="404"/>
      <c r="AP8" s="404"/>
    </row>
    <row r="9" spans="1:42" ht="15" hidden="1" customHeight="1">
      <c r="A9" s="1600"/>
      <c r="B9" s="1570"/>
      <c r="C9" s="1570"/>
      <c r="D9" s="1570"/>
      <c r="E9" s="891"/>
      <c r="F9" s="825"/>
      <c r="G9" s="1608" t="s">
        <v>1000</v>
      </c>
      <c r="H9" s="1609"/>
      <c r="I9" s="1609"/>
      <c r="J9" s="1609"/>
      <c r="K9" s="1609"/>
      <c r="L9" s="1609"/>
      <c r="M9" s="1609"/>
      <c r="N9" s="1609"/>
      <c r="O9" s="1610"/>
      <c r="P9" s="896"/>
      <c r="Q9" s="897"/>
      <c r="R9" s="1558" t="s">
        <v>960</v>
      </c>
      <c r="S9" s="1558"/>
      <c r="T9" s="1558"/>
      <c r="U9" s="1558"/>
      <c r="V9" s="1558"/>
      <c r="W9" s="894"/>
      <c r="X9" s="842"/>
      <c r="Y9" s="1554"/>
      <c r="Z9" s="1555"/>
      <c r="AA9" s="1555"/>
      <c r="AB9" s="1556"/>
      <c r="AC9" s="840"/>
      <c r="AD9" s="890"/>
      <c r="AE9" s="887"/>
      <c r="AF9" s="459"/>
      <c r="AG9" s="456"/>
      <c r="AH9" s="550"/>
      <c r="AI9" s="543"/>
      <c r="AJ9" s="565"/>
      <c r="AK9" s="565"/>
      <c r="AL9" s="567"/>
      <c r="AM9" s="404"/>
      <c r="AN9" s="404"/>
      <c r="AO9" s="404"/>
      <c r="AP9" s="404"/>
    </row>
    <row r="10" spans="1:42" ht="15" hidden="1" customHeight="1" thickBot="1">
      <c r="A10" s="1601"/>
      <c r="B10" s="1571"/>
      <c r="C10" s="1571"/>
      <c r="D10" s="1571"/>
      <c r="E10" s="891"/>
      <c r="F10" s="825"/>
      <c r="G10" s="1614" t="s">
        <v>1015</v>
      </c>
      <c r="H10" s="1564"/>
      <c r="I10" s="1564"/>
      <c r="J10" s="1564"/>
      <c r="K10" s="1564"/>
      <c r="L10" s="1564"/>
      <c r="M10" s="1564"/>
      <c r="N10" s="1564"/>
      <c r="O10" s="1615"/>
      <c r="P10" s="900"/>
      <c r="Q10" s="901"/>
      <c r="R10" s="1562" t="s">
        <v>961</v>
      </c>
      <c r="S10" s="1562"/>
      <c r="T10" s="1562"/>
      <c r="U10" s="1562"/>
      <c r="V10" s="1562"/>
      <c r="W10" s="894"/>
      <c r="X10" s="842"/>
      <c r="Y10" s="1565"/>
      <c r="Z10" s="1566"/>
      <c r="AA10" s="1566"/>
      <c r="AB10" s="1567"/>
      <c r="AC10" s="840"/>
      <c r="AD10" s="902"/>
      <c r="AE10" s="903"/>
      <c r="AF10" s="460"/>
      <c r="AG10" s="457"/>
      <c r="AH10" s="551"/>
      <c r="AI10" s="544"/>
      <c r="AJ10" s="565"/>
      <c r="AK10" s="565"/>
      <c r="AL10" s="567"/>
      <c r="AM10" s="404"/>
      <c r="AN10" s="404"/>
      <c r="AO10" s="404"/>
      <c r="AP10" s="404"/>
    </row>
    <row r="11" spans="1:42" s="290" customFormat="1" ht="51">
      <c r="A11" s="405" t="s">
        <v>558</v>
      </c>
      <c r="B11" s="405" t="s">
        <v>557</v>
      </c>
      <c r="C11" s="405" t="s">
        <v>1331</v>
      </c>
      <c r="D11" s="520" t="s">
        <v>1330</v>
      </c>
      <c r="E11" s="904" t="s">
        <v>1580</v>
      </c>
      <c r="F11" s="905" t="s">
        <v>1581</v>
      </c>
      <c r="G11" s="516"/>
      <c r="H11" s="519"/>
      <c r="I11" s="519"/>
      <c r="J11" s="519"/>
      <c r="K11" s="519"/>
      <c r="L11" s="518"/>
      <c r="M11" s="518"/>
      <c r="N11" s="518"/>
      <c r="O11" s="517"/>
      <c r="P11" s="906" t="s">
        <v>1582</v>
      </c>
      <c r="Q11" s="907" t="s">
        <v>1583</v>
      </c>
      <c r="R11" s="908"/>
      <c r="S11" s="511"/>
      <c r="T11" s="511"/>
      <c r="U11" s="511"/>
      <c r="V11" s="909"/>
      <c r="W11" s="907" t="s">
        <v>1583</v>
      </c>
      <c r="X11" s="910" t="s">
        <v>1584</v>
      </c>
      <c r="Y11" s="907" t="s">
        <v>1583</v>
      </c>
      <c r="Z11" s="881"/>
      <c r="AA11" s="877"/>
      <c r="AB11" s="879"/>
      <c r="AC11" s="910" t="s">
        <v>1585</v>
      </c>
      <c r="AD11" s="911" t="s">
        <v>1583</v>
      </c>
      <c r="AE11" s="912" t="s">
        <v>1583</v>
      </c>
      <c r="AF11" s="913" t="s">
        <v>1583</v>
      </c>
      <c r="AG11" s="458"/>
      <c r="AH11" s="550" t="s">
        <v>1586</v>
      </c>
      <c r="AI11" s="512" t="s">
        <v>1328</v>
      </c>
      <c r="AJ11" s="405" t="s">
        <v>1327</v>
      </c>
      <c r="AK11" s="511" t="s">
        <v>1326</v>
      </c>
      <c r="AL11" s="511" t="s">
        <v>1430</v>
      </c>
      <c r="AM11" s="510"/>
      <c r="AN11" s="594"/>
      <c r="AO11" s="510"/>
      <c r="AP11" s="510"/>
    </row>
    <row r="12" spans="1:42" ht="33.75">
      <c r="A12" s="1549"/>
      <c r="B12" s="1549" t="s">
        <v>856</v>
      </c>
      <c r="C12" s="1550" t="s">
        <v>981</v>
      </c>
      <c r="D12" s="575" t="s">
        <v>1077</v>
      </c>
      <c r="E12" s="914">
        <f>SUM(F12+P12+X12)</f>
        <v>2</v>
      </c>
      <c r="F12" s="915">
        <f>COUNTIF(G12:O12,"H")</f>
        <v>0</v>
      </c>
      <c r="G12" s="916"/>
      <c r="H12" s="576"/>
      <c r="I12" s="917"/>
      <c r="J12" s="917"/>
      <c r="K12" s="917"/>
      <c r="L12" s="918"/>
      <c r="M12" s="918"/>
      <c r="N12" s="918"/>
      <c r="O12" s="919"/>
      <c r="P12" s="919">
        <f>COUNTIF(Q12:W12,"H")</f>
        <v>1</v>
      </c>
      <c r="Q12" s="920"/>
      <c r="R12" s="921"/>
      <c r="S12" s="577" t="s">
        <v>562</v>
      </c>
      <c r="T12" s="922"/>
      <c r="U12" s="922"/>
      <c r="V12" s="923"/>
      <c r="W12" s="924"/>
      <c r="X12" s="915">
        <f>COUNTIF(Y12:AB12,"H")</f>
        <v>1</v>
      </c>
      <c r="Y12" s="925"/>
      <c r="Z12" s="921" t="s">
        <v>562</v>
      </c>
      <c r="AA12" s="922"/>
      <c r="AB12" s="924"/>
      <c r="AC12" s="919">
        <f>COUNTIF(AD12:AF12,"H")</f>
        <v>0</v>
      </c>
      <c r="AD12" s="925"/>
      <c r="AE12" s="922"/>
      <c r="AF12" s="578"/>
      <c r="AG12" s="579"/>
      <c r="AH12" s="580" t="s">
        <v>1325</v>
      </c>
      <c r="AI12" s="581" t="s">
        <v>1324</v>
      </c>
      <c r="AJ12" s="582"/>
      <c r="AK12" s="583"/>
      <c r="AL12" s="567"/>
      <c r="AM12" s="404"/>
      <c r="AN12" s="404"/>
      <c r="AO12" s="404"/>
      <c r="AP12" s="404"/>
    </row>
    <row r="13" spans="1:42" ht="22.5">
      <c r="A13" s="1549"/>
      <c r="B13" s="1549"/>
      <c r="C13" s="1550"/>
      <c r="D13" s="584" t="s">
        <v>1323</v>
      </c>
      <c r="E13" s="926">
        <f t="shared" ref="E13:E23" si="0">SUM(F13+P13+X13)</f>
        <v>6</v>
      </c>
      <c r="F13" s="915">
        <f t="shared" ref="F13:F23" si="1">COUNTIF(G13:O13,"H")</f>
        <v>1</v>
      </c>
      <c r="G13" s="916"/>
      <c r="H13" s="917" t="s">
        <v>562</v>
      </c>
      <c r="I13" s="917"/>
      <c r="J13" s="917"/>
      <c r="K13" s="917"/>
      <c r="L13" s="918"/>
      <c r="M13" s="918"/>
      <c r="N13" s="918"/>
      <c r="O13" s="919"/>
      <c r="P13" s="919">
        <f t="shared" ref="P13:P23" si="2">COUNTIF(Q13:W13,"H")</f>
        <v>4</v>
      </c>
      <c r="Q13" s="920"/>
      <c r="R13" s="921"/>
      <c r="S13" s="577" t="s">
        <v>562</v>
      </c>
      <c r="T13" s="577" t="s">
        <v>562</v>
      </c>
      <c r="U13" s="577" t="s">
        <v>562</v>
      </c>
      <c r="V13" s="927" t="s">
        <v>562</v>
      </c>
      <c r="W13" s="585"/>
      <c r="X13" s="915">
        <f t="shared" ref="X13:X23" si="3">COUNTIF(Y13:AB13,"H")</f>
        <v>1</v>
      </c>
      <c r="Y13" s="586"/>
      <c r="Z13" s="921"/>
      <c r="AA13" s="922"/>
      <c r="AB13" s="924" t="s">
        <v>562</v>
      </c>
      <c r="AC13" s="919">
        <f t="shared" ref="AC13:AC23" si="4">COUNTIF(AD13:AF13,"H")</f>
        <v>0</v>
      </c>
      <c r="AD13" s="925"/>
      <c r="AE13" s="922"/>
      <c r="AF13" s="578"/>
      <c r="AG13" s="579"/>
      <c r="AH13" s="580" t="s">
        <v>1322</v>
      </c>
      <c r="AI13" s="581" t="s">
        <v>1397</v>
      </c>
      <c r="AJ13" s="582"/>
      <c r="AK13" s="583"/>
      <c r="AL13" s="567"/>
      <c r="AM13" s="404"/>
      <c r="AN13" s="404"/>
      <c r="AO13" s="404"/>
      <c r="AP13" s="404"/>
    </row>
    <row r="14" spans="1:42" ht="22.5">
      <c r="A14" s="1549"/>
      <c r="B14" s="1549"/>
      <c r="C14" s="1550"/>
      <c r="D14" s="584" t="s">
        <v>1321</v>
      </c>
      <c r="E14" s="914">
        <f t="shared" si="0"/>
        <v>0</v>
      </c>
      <c r="F14" s="915">
        <f t="shared" si="1"/>
        <v>0</v>
      </c>
      <c r="G14" s="916"/>
      <c r="H14" s="917"/>
      <c r="I14" s="917"/>
      <c r="J14" s="917"/>
      <c r="K14" s="917"/>
      <c r="L14" s="918"/>
      <c r="M14" s="918"/>
      <c r="N14" s="918"/>
      <c r="O14" s="919"/>
      <c r="P14" s="919">
        <f t="shared" si="2"/>
        <v>0</v>
      </c>
      <c r="Q14" s="920"/>
      <c r="R14" s="921"/>
      <c r="S14" s="577"/>
      <c r="T14" s="577"/>
      <c r="U14" s="577"/>
      <c r="V14" s="927"/>
      <c r="W14" s="585"/>
      <c r="X14" s="915">
        <f t="shared" si="3"/>
        <v>0</v>
      </c>
      <c r="Y14" s="586"/>
      <c r="Z14" s="921"/>
      <c r="AA14" s="922"/>
      <c r="AB14" s="924"/>
      <c r="AC14" s="919">
        <f t="shared" si="4"/>
        <v>0</v>
      </c>
      <c r="AD14" s="925"/>
      <c r="AE14" s="922"/>
      <c r="AF14" s="578"/>
      <c r="AG14" s="579"/>
      <c r="AH14" s="581" t="s">
        <v>35</v>
      </c>
      <c r="AI14" s="581" t="s">
        <v>1587</v>
      </c>
      <c r="AJ14" s="582"/>
      <c r="AK14" s="583"/>
      <c r="AL14" s="567"/>
      <c r="AM14" s="404"/>
      <c r="AN14" s="404"/>
      <c r="AO14" s="404"/>
      <c r="AP14" s="404"/>
    </row>
    <row r="15" spans="1:42" ht="22.5">
      <c r="A15" s="1549"/>
      <c r="B15" s="1549"/>
      <c r="C15" s="1550"/>
      <c r="D15" s="584" t="s">
        <v>1319</v>
      </c>
      <c r="E15" s="914">
        <f t="shared" si="0"/>
        <v>4</v>
      </c>
      <c r="F15" s="915">
        <f t="shared" si="1"/>
        <v>0</v>
      </c>
      <c r="G15" s="916"/>
      <c r="H15" s="917"/>
      <c r="I15" s="917"/>
      <c r="J15" s="917"/>
      <c r="K15" s="917"/>
      <c r="L15" s="918"/>
      <c r="M15" s="918"/>
      <c r="N15" s="918"/>
      <c r="O15" s="919"/>
      <c r="P15" s="919">
        <f t="shared" si="2"/>
        <v>4</v>
      </c>
      <c r="Q15" s="920"/>
      <c r="R15" s="921"/>
      <c r="S15" s="577" t="s">
        <v>562</v>
      </c>
      <c r="T15" s="577" t="s">
        <v>562</v>
      </c>
      <c r="U15" s="577" t="s">
        <v>562</v>
      </c>
      <c r="V15" s="927" t="s">
        <v>562</v>
      </c>
      <c r="W15" s="585"/>
      <c r="X15" s="915">
        <f t="shared" si="3"/>
        <v>0</v>
      </c>
      <c r="Y15" s="586"/>
      <c r="Z15" s="921"/>
      <c r="AA15" s="922"/>
      <c r="AB15" s="924"/>
      <c r="AC15" s="919">
        <f t="shared" si="4"/>
        <v>0</v>
      </c>
      <c r="AD15" s="925"/>
      <c r="AE15" s="922"/>
      <c r="AF15" s="578"/>
      <c r="AG15" s="579"/>
      <c r="AH15" s="581" t="s">
        <v>1318</v>
      </c>
      <c r="AI15" s="581" t="s">
        <v>1588</v>
      </c>
      <c r="AJ15" s="582"/>
      <c r="AK15" s="583"/>
      <c r="AL15" s="567"/>
      <c r="AM15" s="404"/>
      <c r="AN15" s="404"/>
      <c r="AO15" s="404"/>
      <c r="AP15" s="404"/>
    </row>
    <row r="16" spans="1:42" ht="45">
      <c r="A16" s="1549"/>
      <c r="B16" s="1549"/>
      <c r="C16" s="1550"/>
      <c r="D16" s="584" t="s">
        <v>1317</v>
      </c>
      <c r="E16" s="926">
        <f t="shared" si="0"/>
        <v>7</v>
      </c>
      <c r="F16" s="915">
        <f t="shared" si="1"/>
        <v>2</v>
      </c>
      <c r="G16" s="916"/>
      <c r="H16" s="917" t="s">
        <v>562</v>
      </c>
      <c r="I16" s="917" t="s">
        <v>562</v>
      </c>
      <c r="J16" s="917"/>
      <c r="K16" s="917"/>
      <c r="L16" s="918"/>
      <c r="M16" s="918"/>
      <c r="N16" s="918"/>
      <c r="O16" s="919"/>
      <c r="P16" s="919">
        <f t="shared" si="2"/>
        <v>4</v>
      </c>
      <c r="Q16" s="920"/>
      <c r="R16" s="921"/>
      <c r="S16" s="577" t="s">
        <v>562</v>
      </c>
      <c r="T16" s="577" t="s">
        <v>562</v>
      </c>
      <c r="U16" s="577" t="s">
        <v>562</v>
      </c>
      <c r="V16" s="927" t="s">
        <v>562</v>
      </c>
      <c r="W16" s="585"/>
      <c r="X16" s="915">
        <f t="shared" si="3"/>
        <v>1</v>
      </c>
      <c r="Y16" s="586"/>
      <c r="Z16" s="921"/>
      <c r="AA16" s="922"/>
      <c r="AB16" s="924" t="s">
        <v>562</v>
      </c>
      <c r="AC16" s="919">
        <f t="shared" si="4"/>
        <v>0</v>
      </c>
      <c r="AD16" s="925"/>
      <c r="AE16" s="922"/>
      <c r="AF16" s="578"/>
      <c r="AG16" s="579"/>
      <c r="AH16" s="581" t="s">
        <v>1316</v>
      </c>
      <c r="AI16" s="581" t="s">
        <v>1315</v>
      </c>
      <c r="AJ16" s="582"/>
      <c r="AK16" s="583"/>
      <c r="AL16" s="567"/>
      <c r="AM16" s="404"/>
      <c r="AN16" s="404"/>
      <c r="AO16" s="404"/>
      <c r="AP16" s="404"/>
    </row>
    <row r="17" spans="1:42" ht="22.5">
      <c r="A17" s="1549"/>
      <c r="B17" s="1549"/>
      <c r="C17" s="1550"/>
      <c r="D17" s="584" t="s">
        <v>1314</v>
      </c>
      <c r="E17" s="926">
        <f t="shared" si="0"/>
        <v>5</v>
      </c>
      <c r="F17" s="915">
        <f t="shared" si="1"/>
        <v>0</v>
      </c>
      <c r="G17" s="916"/>
      <c r="H17" s="917"/>
      <c r="I17" s="917"/>
      <c r="J17" s="917"/>
      <c r="K17" s="917"/>
      <c r="L17" s="918"/>
      <c r="M17" s="918"/>
      <c r="N17" s="918"/>
      <c r="O17" s="919"/>
      <c r="P17" s="919">
        <f t="shared" si="2"/>
        <v>4</v>
      </c>
      <c r="Q17" s="920"/>
      <c r="R17" s="921"/>
      <c r="S17" s="577" t="s">
        <v>562</v>
      </c>
      <c r="T17" s="577" t="s">
        <v>562</v>
      </c>
      <c r="U17" s="577" t="s">
        <v>562</v>
      </c>
      <c r="V17" s="927" t="s">
        <v>562</v>
      </c>
      <c r="W17" s="585"/>
      <c r="X17" s="915">
        <f t="shared" si="3"/>
        <v>1</v>
      </c>
      <c r="Y17" s="586"/>
      <c r="Z17" s="921"/>
      <c r="AA17" s="922"/>
      <c r="AB17" s="924" t="s">
        <v>562</v>
      </c>
      <c r="AC17" s="919">
        <f t="shared" si="4"/>
        <v>0</v>
      </c>
      <c r="AD17" s="925"/>
      <c r="AE17" s="922"/>
      <c r="AF17" s="578"/>
      <c r="AG17" s="579"/>
      <c r="AH17" s="580" t="s">
        <v>1313</v>
      </c>
      <c r="AI17" s="581" t="s">
        <v>1312</v>
      </c>
      <c r="AJ17" s="582"/>
      <c r="AK17" s="583"/>
      <c r="AL17" s="567"/>
      <c r="AM17" s="404"/>
      <c r="AN17" s="404"/>
      <c r="AO17" s="404"/>
      <c r="AP17" s="404"/>
    </row>
    <row r="18" spans="1:42" ht="25.5">
      <c r="A18" s="1549"/>
      <c r="B18" s="1549"/>
      <c r="C18" s="1550"/>
      <c r="D18" s="584" t="s">
        <v>1311</v>
      </c>
      <c r="E18" s="914">
        <f t="shared" si="0"/>
        <v>1</v>
      </c>
      <c r="F18" s="915">
        <f t="shared" si="1"/>
        <v>0</v>
      </c>
      <c r="G18" s="916"/>
      <c r="H18" s="917"/>
      <c r="I18" s="917"/>
      <c r="J18" s="917"/>
      <c r="K18" s="917"/>
      <c r="L18" s="918"/>
      <c r="M18" s="918"/>
      <c r="N18" s="918" t="s">
        <v>204</v>
      </c>
      <c r="O18" s="919"/>
      <c r="P18" s="919">
        <f t="shared" si="2"/>
        <v>0</v>
      </c>
      <c r="Q18" s="920"/>
      <c r="R18" s="921"/>
      <c r="S18" s="577"/>
      <c r="T18" s="922"/>
      <c r="U18" s="922"/>
      <c r="V18" s="923"/>
      <c r="W18" s="924"/>
      <c r="X18" s="915">
        <f t="shared" si="3"/>
        <v>1</v>
      </c>
      <c r="Y18" s="925"/>
      <c r="Z18" s="921"/>
      <c r="AA18" s="922"/>
      <c r="AB18" s="924" t="s">
        <v>562</v>
      </c>
      <c r="AC18" s="919">
        <f t="shared" si="4"/>
        <v>0</v>
      </c>
      <c r="AD18" s="925"/>
      <c r="AE18" s="922"/>
      <c r="AF18" s="578"/>
      <c r="AG18" s="579"/>
      <c r="AH18" s="581" t="s">
        <v>979</v>
      </c>
      <c r="AI18" s="587" t="s">
        <v>1310</v>
      </c>
      <c r="AJ18" s="582"/>
      <c r="AK18" s="583"/>
      <c r="AL18" s="567"/>
      <c r="AM18" s="404"/>
      <c r="AN18" s="404"/>
      <c r="AO18" s="404"/>
      <c r="AP18" s="404"/>
    </row>
    <row r="19" spans="1:42" ht="22.5">
      <c r="A19" s="1549"/>
      <c r="B19" s="1549"/>
      <c r="C19" s="1550"/>
      <c r="D19" s="584" t="s">
        <v>1309</v>
      </c>
      <c r="E19" s="914">
        <f t="shared" si="0"/>
        <v>0</v>
      </c>
      <c r="F19" s="915">
        <f t="shared" si="1"/>
        <v>0</v>
      </c>
      <c r="G19" s="916"/>
      <c r="H19" s="917"/>
      <c r="I19" s="917"/>
      <c r="J19" s="917"/>
      <c r="K19" s="917"/>
      <c r="L19" s="918"/>
      <c r="M19" s="918"/>
      <c r="N19" s="918"/>
      <c r="O19" s="919"/>
      <c r="P19" s="919">
        <f t="shared" si="2"/>
        <v>0</v>
      </c>
      <c r="Q19" s="920"/>
      <c r="R19" s="921"/>
      <c r="S19" s="577"/>
      <c r="T19" s="922"/>
      <c r="U19" s="922"/>
      <c r="V19" s="923"/>
      <c r="W19" s="924"/>
      <c r="X19" s="915">
        <f t="shared" si="3"/>
        <v>0</v>
      </c>
      <c r="Y19" s="925"/>
      <c r="Z19" s="921"/>
      <c r="AA19" s="922"/>
      <c r="AB19" s="924"/>
      <c r="AC19" s="919">
        <f t="shared" si="4"/>
        <v>0</v>
      </c>
      <c r="AD19" s="925"/>
      <c r="AE19" s="922"/>
      <c r="AF19" s="578"/>
      <c r="AG19" s="579"/>
      <c r="AH19" s="581" t="s">
        <v>978</v>
      </c>
      <c r="AI19" s="587" t="s">
        <v>1429</v>
      </c>
      <c r="AJ19" s="582"/>
      <c r="AK19" s="583"/>
      <c r="AL19" s="567"/>
      <c r="AM19" s="404"/>
      <c r="AN19" s="404"/>
      <c r="AO19" s="404"/>
      <c r="AP19" s="404"/>
    </row>
    <row r="20" spans="1:42" ht="22.5">
      <c r="A20" s="1549"/>
      <c r="B20" s="1549"/>
      <c r="C20" s="1550"/>
      <c r="D20" s="584" t="s">
        <v>1308</v>
      </c>
      <c r="E20" s="914">
        <f t="shared" si="0"/>
        <v>0</v>
      </c>
      <c r="F20" s="915">
        <f t="shared" si="1"/>
        <v>0</v>
      </c>
      <c r="G20" s="916"/>
      <c r="H20" s="917"/>
      <c r="I20" s="917"/>
      <c r="J20" s="917"/>
      <c r="K20" s="917"/>
      <c r="L20" s="918"/>
      <c r="M20" s="918"/>
      <c r="N20" s="918"/>
      <c r="O20" s="919"/>
      <c r="P20" s="919">
        <f t="shared" si="2"/>
        <v>0</v>
      </c>
      <c r="Q20" s="920"/>
      <c r="R20" s="921"/>
      <c r="S20" s="577"/>
      <c r="T20" s="922"/>
      <c r="U20" s="922"/>
      <c r="V20" s="923"/>
      <c r="W20" s="924"/>
      <c r="X20" s="915">
        <f t="shared" si="3"/>
        <v>0</v>
      </c>
      <c r="Y20" s="925"/>
      <c r="Z20" s="921"/>
      <c r="AA20" s="922"/>
      <c r="AB20" s="924"/>
      <c r="AC20" s="919">
        <f t="shared" si="4"/>
        <v>0</v>
      </c>
      <c r="AD20" s="925"/>
      <c r="AE20" s="922"/>
      <c r="AF20" s="578"/>
      <c r="AG20" s="579"/>
      <c r="AH20" s="581" t="s">
        <v>980</v>
      </c>
      <c r="AI20" s="587" t="s">
        <v>1398</v>
      </c>
      <c r="AJ20" s="582"/>
      <c r="AK20" s="583"/>
      <c r="AL20" s="567"/>
      <c r="AM20" s="404"/>
      <c r="AN20" s="404"/>
      <c r="AO20" s="404"/>
      <c r="AP20" s="404"/>
    </row>
    <row r="21" spans="1:42" ht="25.5">
      <c r="A21" s="1549"/>
      <c r="B21" s="1549"/>
      <c r="C21" s="827" t="s">
        <v>1033</v>
      </c>
      <c r="D21" s="584" t="s">
        <v>1034</v>
      </c>
      <c r="E21" s="926">
        <f t="shared" si="0"/>
        <v>5</v>
      </c>
      <c r="F21" s="915">
        <f t="shared" si="1"/>
        <v>4</v>
      </c>
      <c r="G21" s="916"/>
      <c r="H21" s="917" t="s">
        <v>562</v>
      </c>
      <c r="I21" s="917"/>
      <c r="J21" s="917" t="s">
        <v>562</v>
      </c>
      <c r="K21" s="917" t="s">
        <v>562</v>
      </c>
      <c r="L21" s="918"/>
      <c r="M21" s="918"/>
      <c r="N21" s="918"/>
      <c r="O21" s="919" t="s">
        <v>562</v>
      </c>
      <c r="P21" s="919">
        <f t="shared" si="2"/>
        <v>0</v>
      </c>
      <c r="Q21" s="920"/>
      <c r="R21" s="921"/>
      <c r="S21" s="577"/>
      <c r="T21" s="922"/>
      <c r="U21" s="922"/>
      <c r="V21" s="923"/>
      <c r="W21" s="924"/>
      <c r="X21" s="915">
        <f t="shared" si="3"/>
        <v>1</v>
      </c>
      <c r="Y21" s="925"/>
      <c r="Z21" s="921"/>
      <c r="AA21" s="922"/>
      <c r="AB21" s="924" t="s">
        <v>562</v>
      </c>
      <c r="AC21" s="919">
        <f t="shared" si="4"/>
        <v>0</v>
      </c>
      <c r="AD21" s="925"/>
      <c r="AE21" s="922"/>
      <c r="AF21" s="578"/>
      <c r="AG21" s="579"/>
      <c r="AH21" s="588"/>
      <c r="AI21" s="581" t="s">
        <v>1307</v>
      </c>
      <c r="AJ21" s="582"/>
      <c r="AK21" s="583"/>
      <c r="AL21" s="567"/>
      <c r="AM21" s="404"/>
      <c r="AN21" s="404"/>
      <c r="AO21" s="404"/>
      <c r="AP21" s="404"/>
    </row>
    <row r="22" spans="1:42" ht="33.75">
      <c r="A22" s="1549"/>
      <c r="B22" s="1549"/>
      <c r="C22" s="827" t="s">
        <v>857</v>
      </c>
      <c r="D22" s="584" t="s">
        <v>1306</v>
      </c>
      <c r="E22" s="914">
        <f t="shared" si="0"/>
        <v>1</v>
      </c>
      <c r="F22" s="915">
        <f t="shared" si="1"/>
        <v>0</v>
      </c>
      <c r="G22" s="916"/>
      <c r="H22" s="917"/>
      <c r="I22" s="917"/>
      <c r="J22" s="917"/>
      <c r="K22" s="917"/>
      <c r="L22" s="918"/>
      <c r="M22" s="918"/>
      <c r="N22" s="918"/>
      <c r="O22" s="919"/>
      <c r="P22" s="919">
        <f t="shared" si="2"/>
        <v>0</v>
      </c>
      <c r="Q22" s="920"/>
      <c r="R22" s="921"/>
      <c r="S22" s="577"/>
      <c r="T22" s="922"/>
      <c r="U22" s="922"/>
      <c r="V22" s="923"/>
      <c r="W22" s="924"/>
      <c r="X22" s="915">
        <f t="shared" si="3"/>
        <v>1</v>
      </c>
      <c r="Y22" s="925"/>
      <c r="Z22" s="921"/>
      <c r="AA22" s="922"/>
      <c r="AB22" s="924" t="s">
        <v>562</v>
      </c>
      <c r="AC22" s="919">
        <f t="shared" si="4"/>
        <v>0</v>
      </c>
      <c r="AD22" s="925"/>
      <c r="AE22" s="922"/>
      <c r="AF22" s="578"/>
      <c r="AG22" s="579"/>
      <c r="AH22" s="580" t="s">
        <v>1305</v>
      </c>
      <c r="AI22" s="581" t="s">
        <v>1304</v>
      </c>
      <c r="AJ22" s="582"/>
      <c r="AK22" s="583"/>
      <c r="AL22" s="567"/>
      <c r="AM22" s="404"/>
      <c r="AN22" s="404"/>
      <c r="AO22" s="404"/>
      <c r="AP22" s="404"/>
    </row>
    <row r="23" spans="1:42" ht="25.5">
      <c r="A23" s="1549"/>
      <c r="B23" s="1549"/>
      <c r="C23" s="589" t="s">
        <v>1067</v>
      </c>
      <c r="D23" s="584" t="s">
        <v>1303</v>
      </c>
      <c r="E23" s="926">
        <f t="shared" si="0"/>
        <v>6</v>
      </c>
      <c r="F23" s="915">
        <f t="shared" si="1"/>
        <v>1</v>
      </c>
      <c r="G23" s="916"/>
      <c r="H23" s="917" t="s">
        <v>562</v>
      </c>
      <c r="I23" s="917"/>
      <c r="J23" s="917"/>
      <c r="K23" s="917"/>
      <c r="L23" s="918"/>
      <c r="M23" s="918"/>
      <c r="N23" s="918"/>
      <c r="O23" s="919"/>
      <c r="P23" s="919">
        <f t="shared" si="2"/>
        <v>4</v>
      </c>
      <c r="Q23" s="920"/>
      <c r="R23" s="921"/>
      <c r="S23" s="577" t="s">
        <v>562</v>
      </c>
      <c r="T23" s="577" t="s">
        <v>562</v>
      </c>
      <c r="U23" s="577" t="s">
        <v>562</v>
      </c>
      <c r="V23" s="819" t="s">
        <v>562</v>
      </c>
      <c r="W23" s="585"/>
      <c r="X23" s="915">
        <f t="shared" si="3"/>
        <v>1</v>
      </c>
      <c r="Y23" s="586"/>
      <c r="Z23" s="921"/>
      <c r="AA23" s="922"/>
      <c r="AB23" s="924" t="s">
        <v>562</v>
      </c>
      <c r="AC23" s="919">
        <f t="shared" si="4"/>
        <v>0</v>
      </c>
      <c r="AD23" s="925"/>
      <c r="AE23" s="922"/>
      <c r="AF23" s="578"/>
      <c r="AG23" s="579"/>
      <c r="AH23" s="580" t="s">
        <v>1302</v>
      </c>
      <c r="AI23" s="581" t="s">
        <v>1301</v>
      </c>
      <c r="AJ23" s="582"/>
      <c r="AK23" s="583"/>
      <c r="AL23" s="567"/>
      <c r="AM23" s="404"/>
      <c r="AN23" s="404"/>
      <c r="AO23" s="404"/>
      <c r="AP23" s="404"/>
    </row>
    <row r="24" spans="1:42" ht="15">
      <c r="A24" s="826" t="s">
        <v>1589</v>
      </c>
      <c r="B24" s="826"/>
      <c r="C24" s="589"/>
      <c r="D24" s="584"/>
      <c r="E24" s="914"/>
      <c r="F24" s="915"/>
      <c r="G24" s="916">
        <f>COUNTIF(G9:G23, "M")</f>
        <v>0</v>
      </c>
      <c r="H24" s="916">
        <f t="shared" ref="H24:O24" si="5">COUNTIF(H9:H23, "M")</f>
        <v>0</v>
      </c>
      <c r="I24" s="916">
        <f t="shared" si="5"/>
        <v>0</v>
      </c>
      <c r="J24" s="916">
        <f t="shared" si="5"/>
        <v>0</v>
      </c>
      <c r="K24" s="916">
        <f t="shared" si="5"/>
        <v>0</v>
      </c>
      <c r="L24" s="916">
        <f t="shared" si="5"/>
        <v>0</v>
      </c>
      <c r="M24" s="916">
        <f t="shared" si="5"/>
        <v>0</v>
      </c>
      <c r="N24" s="916">
        <f t="shared" si="5"/>
        <v>0</v>
      </c>
      <c r="O24" s="916">
        <f t="shared" si="5"/>
        <v>0</v>
      </c>
      <c r="P24" s="928"/>
      <c r="Q24" s="916">
        <f t="shared" ref="Q24:W24" si="6">COUNTIF(Q9:Q23, "M")</f>
        <v>0</v>
      </c>
      <c r="R24" s="920">
        <f t="shared" si="6"/>
        <v>0</v>
      </c>
      <c r="S24" s="916">
        <f t="shared" si="6"/>
        <v>0</v>
      </c>
      <c r="T24" s="916">
        <f t="shared" si="6"/>
        <v>0</v>
      </c>
      <c r="U24" s="916">
        <f t="shared" si="6"/>
        <v>0</v>
      </c>
      <c r="V24" s="929">
        <f t="shared" si="6"/>
        <v>0</v>
      </c>
      <c r="W24" s="919">
        <f t="shared" si="6"/>
        <v>0</v>
      </c>
      <c r="X24" s="928"/>
      <c r="Y24" s="916">
        <f t="shared" ref="Y24:AF24" si="7">COUNTIF(Y9:Y23, "M")</f>
        <v>0</v>
      </c>
      <c r="Z24" s="916">
        <f t="shared" si="7"/>
        <v>0</v>
      </c>
      <c r="AA24" s="916">
        <f t="shared" si="7"/>
        <v>0</v>
      </c>
      <c r="AB24" s="916">
        <f t="shared" si="7"/>
        <v>0</v>
      </c>
      <c r="AC24" s="916">
        <f t="shared" si="7"/>
        <v>0</v>
      </c>
      <c r="AD24" s="916">
        <f t="shared" si="7"/>
        <v>0</v>
      </c>
      <c r="AE24" s="916">
        <f t="shared" si="7"/>
        <v>0</v>
      </c>
      <c r="AF24" s="916">
        <f t="shared" si="7"/>
        <v>0</v>
      </c>
      <c r="AG24" s="579"/>
      <c r="AH24" s="580"/>
      <c r="AI24" s="581"/>
      <c r="AJ24" s="582"/>
      <c r="AK24" s="583"/>
      <c r="AL24" s="567"/>
      <c r="AM24" s="404"/>
      <c r="AN24" s="404"/>
      <c r="AO24" s="404"/>
      <c r="AP24" s="404"/>
    </row>
    <row r="25" spans="1:42" ht="15">
      <c r="A25" s="826" t="s">
        <v>1590</v>
      </c>
      <c r="B25" s="826"/>
      <c r="C25" s="589"/>
      <c r="D25" s="584"/>
      <c r="E25" s="914"/>
      <c r="F25" s="915"/>
      <c r="G25" s="929">
        <f t="shared" ref="G25:O25" si="8">COUNTIF(G12:G23, "H")</f>
        <v>0</v>
      </c>
      <c r="H25" s="929">
        <f t="shared" si="8"/>
        <v>4</v>
      </c>
      <c r="I25" s="929">
        <f t="shared" si="8"/>
        <v>1</v>
      </c>
      <c r="J25" s="929">
        <f t="shared" si="8"/>
        <v>1</v>
      </c>
      <c r="K25" s="929">
        <f t="shared" si="8"/>
        <v>1</v>
      </c>
      <c r="L25" s="929">
        <f t="shared" si="8"/>
        <v>0</v>
      </c>
      <c r="M25" s="929">
        <f t="shared" si="8"/>
        <v>0</v>
      </c>
      <c r="N25" s="929">
        <f t="shared" si="8"/>
        <v>0</v>
      </c>
      <c r="O25" s="929">
        <f t="shared" si="8"/>
        <v>1</v>
      </c>
      <c r="P25" s="929"/>
      <c r="Q25" s="916">
        <f t="shared" ref="Q25:W25" si="9">COUNTIF(Q12:Q23, "H")</f>
        <v>0</v>
      </c>
      <c r="R25" s="928">
        <f t="shared" si="9"/>
        <v>0</v>
      </c>
      <c r="S25" s="929">
        <f t="shared" si="9"/>
        <v>6</v>
      </c>
      <c r="T25" s="929">
        <f t="shared" si="9"/>
        <v>5</v>
      </c>
      <c r="U25" s="929">
        <f t="shared" si="9"/>
        <v>5</v>
      </c>
      <c r="V25" s="929">
        <f t="shared" si="9"/>
        <v>5</v>
      </c>
      <c r="W25" s="919">
        <f t="shared" si="9"/>
        <v>0</v>
      </c>
      <c r="X25" s="928"/>
      <c r="Y25" s="929">
        <f>COUNTIF(Y12:Y23, "H")</f>
        <v>0</v>
      </c>
      <c r="Z25" s="929">
        <f>COUNTIF(Z12:Z23, "H")</f>
        <v>1</v>
      </c>
      <c r="AA25" s="929">
        <f>COUNTIF(AA12:AA23, "H")</f>
        <v>0</v>
      </c>
      <c r="AB25" s="929">
        <f>COUNTIF(AB12:AB23, "H")</f>
        <v>7</v>
      </c>
      <c r="AC25" s="929"/>
      <c r="AD25" s="929">
        <f>COUNTIF(AD12:AD23, "H")</f>
        <v>0</v>
      </c>
      <c r="AE25" s="929">
        <f>COUNTIF(AE12:AE23, "H")</f>
        <v>0</v>
      </c>
      <c r="AF25" s="929">
        <f>COUNTIF(AF12:AF23, "H")</f>
        <v>0</v>
      </c>
      <c r="AG25" s="579"/>
      <c r="AH25" s="580"/>
      <c r="AI25" s="581"/>
      <c r="AJ25" s="582"/>
      <c r="AK25" s="583"/>
      <c r="AL25" s="567"/>
      <c r="AM25" s="404"/>
      <c r="AN25" s="404"/>
      <c r="AO25" s="404"/>
      <c r="AP25" s="404"/>
    </row>
    <row r="26" spans="1:42" ht="45">
      <c r="A26" s="1551" t="s">
        <v>562</v>
      </c>
      <c r="B26" s="1551" t="s">
        <v>858</v>
      </c>
      <c r="C26" s="1519" t="s">
        <v>1591</v>
      </c>
      <c r="D26" s="422" t="s">
        <v>1592</v>
      </c>
      <c r="E26" s="926">
        <f t="shared" ref="E26:E40" si="10">SUM(F26+P26+X26)</f>
        <v>9</v>
      </c>
      <c r="F26" s="930">
        <f t="shared" ref="F26:F40" si="11">COUNTIF(G26:O26,"H")</f>
        <v>2</v>
      </c>
      <c r="G26" s="436"/>
      <c r="H26" s="828" t="s">
        <v>562</v>
      </c>
      <c r="I26" s="828" t="s">
        <v>562</v>
      </c>
      <c r="J26" s="828"/>
      <c r="K26" s="828"/>
      <c r="L26" s="495"/>
      <c r="M26" s="495"/>
      <c r="N26" s="495"/>
      <c r="O26" s="437"/>
      <c r="P26" s="931">
        <f t="shared" ref="P26:P40" si="12">COUNTIF(Q26:W26,"H")</f>
        <v>5</v>
      </c>
      <c r="Q26" s="428"/>
      <c r="R26" s="428" t="s">
        <v>562</v>
      </c>
      <c r="S26" s="828" t="s">
        <v>562</v>
      </c>
      <c r="T26" s="828" t="s">
        <v>562</v>
      </c>
      <c r="U26" s="828" t="s">
        <v>562</v>
      </c>
      <c r="V26" s="495" t="s">
        <v>562</v>
      </c>
      <c r="W26" s="437"/>
      <c r="X26" s="930">
        <f t="shared" ref="X26:X40" si="13">COUNTIF(Y26:AB26,"H")</f>
        <v>2</v>
      </c>
      <c r="Y26" s="436"/>
      <c r="Z26" s="428" t="s">
        <v>562</v>
      </c>
      <c r="AA26" s="828"/>
      <c r="AB26" s="437" t="s">
        <v>562</v>
      </c>
      <c r="AC26" s="931">
        <f>COUNTIF(AD26:AF26,"H")</f>
        <v>0</v>
      </c>
      <c r="AD26" s="436"/>
      <c r="AE26" s="828"/>
      <c r="AF26" s="437"/>
      <c r="AG26" s="428"/>
      <c r="AH26" s="528" t="s">
        <v>1300</v>
      </c>
      <c r="AI26" s="494" t="s">
        <v>1299</v>
      </c>
      <c r="AJ26" s="538"/>
      <c r="AK26" s="406"/>
      <c r="AL26" s="567"/>
    </row>
    <row r="27" spans="1:42" ht="33.75">
      <c r="A27" s="1551"/>
      <c r="B27" s="1551"/>
      <c r="C27" s="1519"/>
      <c r="D27" s="422" t="s">
        <v>1298</v>
      </c>
      <c r="E27" s="926">
        <f t="shared" si="10"/>
        <v>8</v>
      </c>
      <c r="F27" s="930">
        <f t="shared" si="11"/>
        <v>2</v>
      </c>
      <c r="G27" s="436"/>
      <c r="H27" s="828" t="s">
        <v>562</v>
      </c>
      <c r="I27" s="828" t="s">
        <v>562</v>
      </c>
      <c r="J27" s="828"/>
      <c r="K27" s="828"/>
      <c r="L27" s="495"/>
      <c r="M27" s="495"/>
      <c r="N27" s="495"/>
      <c r="O27" s="437"/>
      <c r="P27" s="931">
        <f t="shared" si="12"/>
        <v>4</v>
      </c>
      <c r="Q27" s="428"/>
      <c r="R27" s="428"/>
      <c r="S27" s="828" t="s">
        <v>562</v>
      </c>
      <c r="T27" s="828" t="s">
        <v>562</v>
      </c>
      <c r="U27" s="828" t="s">
        <v>562</v>
      </c>
      <c r="V27" s="495" t="s">
        <v>562</v>
      </c>
      <c r="W27" s="437"/>
      <c r="X27" s="930">
        <f t="shared" si="13"/>
        <v>2</v>
      </c>
      <c r="Y27" s="436"/>
      <c r="Z27" s="428" t="s">
        <v>562</v>
      </c>
      <c r="AA27" s="828"/>
      <c r="AB27" s="437" t="s">
        <v>562</v>
      </c>
      <c r="AC27" s="931">
        <f t="shared" ref="AC27:AC40" si="14">COUNTIF(AD27:AF27,"H")</f>
        <v>0</v>
      </c>
      <c r="AD27" s="436"/>
      <c r="AE27" s="828"/>
      <c r="AF27" s="437"/>
      <c r="AG27" s="428"/>
      <c r="AH27" s="528" t="s">
        <v>1297</v>
      </c>
      <c r="AI27" s="494" t="s">
        <v>1296</v>
      </c>
      <c r="AJ27" s="538"/>
      <c r="AK27" s="406"/>
      <c r="AL27" s="567"/>
    </row>
    <row r="28" spans="1:42" ht="33.75">
      <c r="A28" s="1551"/>
      <c r="B28" s="1551"/>
      <c r="C28" s="1519"/>
      <c r="D28" s="422" t="s">
        <v>1020</v>
      </c>
      <c r="E28" s="926">
        <f t="shared" si="10"/>
        <v>8</v>
      </c>
      <c r="F28" s="930">
        <f t="shared" si="11"/>
        <v>2</v>
      </c>
      <c r="G28" s="436"/>
      <c r="H28" s="828" t="s">
        <v>562</v>
      </c>
      <c r="I28" s="828" t="s">
        <v>562</v>
      </c>
      <c r="J28" s="828"/>
      <c r="K28" s="828"/>
      <c r="L28" s="495"/>
      <c r="M28" s="495"/>
      <c r="N28" s="495"/>
      <c r="O28" s="437"/>
      <c r="P28" s="931">
        <f t="shared" si="12"/>
        <v>4</v>
      </c>
      <c r="Q28" s="428"/>
      <c r="R28" s="428"/>
      <c r="S28" s="828" t="s">
        <v>562</v>
      </c>
      <c r="T28" s="828" t="s">
        <v>562</v>
      </c>
      <c r="U28" s="828" t="s">
        <v>562</v>
      </c>
      <c r="V28" s="495" t="s">
        <v>562</v>
      </c>
      <c r="W28" s="437"/>
      <c r="X28" s="930">
        <f t="shared" si="13"/>
        <v>2</v>
      </c>
      <c r="Y28" s="436"/>
      <c r="Z28" s="428" t="s">
        <v>562</v>
      </c>
      <c r="AA28" s="828"/>
      <c r="AB28" s="437" t="s">
        <v>562</v>
      </c>
      <c r="AC28" s="931">
        <f t="shared" si="14"/>
        <v>0</v>
      </c>
      <c r="AD28" s="436"/>
      <c r="AE28" s="828"/>
      <c r="AF28" s="437"/>
      <c r="AG28" s="428"/>
      <c r="AH28" s="528" t="s">
        <v>1295</v>
      </c>
      <c r="AI28" s="494" t="s">
        <v>1399</v>
      </c>
      <c r="AJ28" s="538"/>
      <c r="AK28" s="406"/>
      <c r="AL28" s="567"/>
    </row>
    <row r="29" spans="1:42" ht="123.75">
      <c r="A29" s="1551"/>
      <c r="B29" s="1551"/>
      <c r="C29" s="829" t="s">
        <v>1593</v>
      </c>
      <c r="D29" s="422" t="s">
        <v>1594</v>
      </c>
      <c r="E29" s="926">
        <f t="shared" si="10"/>
        <v>9</v>
      </c>
      <c r="F29" s="930">
        <f t="shared" si="11"/>
        <v>3</v>
      </c>
      <c r="G29" s="436"/>
      <c r="H29" s="828"/>
      <c r="I29" s="828" t="s">
        <v>562</v>
      </c>
      <c r="J29" s="828"/>
      <c r="K29" s="828" t="s">
        <v>562</v>
      </c>
      <c r="L29" s="495"/>
      <c r="M29" s="495"/>
      <c r="N29" s="495"/>
      <c r="O29" s="437" t="s">
        <v>562</v>
      </c>
      <c r="P29" s="931">
        <f t="shared" si="12"/>
        <v>5</v>
      </c>
      <c r="Q29" s="428"/>
      <c r="R29" s="428" t="s">
        <v>562</v>
      </c>
      <c r="S29" s="828" t="s">
        <v>562</v>
      </c>
      <c r="T29" s="828" t="s">
        <v>562</v>
      </c>
      <c r="U29" s="828" t="s">
        <v>562</v>
      </c>
      <c r="V29" s="495" t="s">
        <v>562</v>
      </c>
      <c r="W29" s="437"/>
      <c r="X29" s="930">
        <f t="shared" si="13"/>
        <v>1</v>
      </c>
      <c r="Y29" s="436"/>
      <c r="Z29" s="428" t="s">
        <v>562</v>
      </c>
      <c r="AA29" s="828"/>
      <c r="AB29" s="437"/>
      <c r="AC29" s="931">
        <f t="shared" si="14"/>
        <v>0</v>
      </c>
      <c r="AD29" s="436"/>
      <c r="AE29" s="828"/>
      <c r="AF29" s="437"/>
      <c r="AG29" s="428"/>
      <c r="AH29" s="494" t="s">
        <v>1595</v>
      </c>
      <c r="AI29" s="548" t="s">
        <v>1596</v>
      </c>
      <c r="AJ29" s="538"/>
      <c r="AK29" s="406"/>
      <c r="AL29" s="567"/>
    </row>
    <row r="30" spans="1:42" ht="51">
      <c r="A30" s="1551"/>
      <c r="B30" s="1551"/>
      <c r="C30" s="829" t="s">
        <v>1344</v>
      </c>
      <c r="D30" s="422" t="s">
        <v>1345</v>
      </c>
      <c r="E30" s="914">
        <f t="shared" si="10"/>
        <v>0</v>
      </c>
      <c r="F30" s="930">
        <f t="shared" si="11"/>
        <v>0</v>
      </c>
      <c r="G30" s="436"/>
      <c r="H30" s="828"/>
      <c r="I30" s="828"/>
      <c r="J30" s="828"/>
      <c r="K30" s="828"/>
      <c r="L30" s="495"/>
      <c r="M30" s="495"/>
      <c r="N30" s="495"/>
      <c r="O30" s="437"/>
      <c r="P30" s="931">
        <f t="shared" si="12"/>
        <v>0</v>
      </c>
      <c r="Q30" s="428"/>
      <c r="R30" s="428"/>
      <c r="S30" s="828"/>
      <c r="T30" s="828"/>
      <c r="U30" s="828"/>
      <c r="V30" s="495"/>
      <c r="W30" s="437"/>
      <c r="X30" s="930">
        <f t="shared" si="13"/>
        <v>0</v>
      </c>
      <c r="Y30" s="436"/>
      <c r="Z30" s="428"/>
      <c r="AA30" s="828"/>
      <c r="AB30" s="437"/>
      <c r="AC30" s="931">
        <f t="shared" si="14"/>
        <v>0</v>
      </c>
      <c r="AD30" s="436"/>
      <c r="AE30" s="828"/>
      <c r="AF30" s="437"/>
      <c r="AG30" s="428"/>
      <c r="AH30" s="528"/>
      <c r="AI30" s="548" t="s">
        <v>1346</v>
      </c>
      <c r="AJ30" s="538"/>
      <c r="AK30" s="406"/>
      <c r="AL30" s="567"/>
    </row>
    <row r="31" spans="1:42" ht="63.75">
      <c r="A31" s="1551"/>
      <c r="B31" s="1551"/>
      <c r="C31" s="829" t="s">
        <v>1078</v>
      </c>
      <c r="D31" s="422" t="s">
        <v>1291</v>
      </c>
      <c r="E31" s="926">
        <f t="shared" si="10"/>
        <v>10</v>
      </c>
      <c r="F31" s="930">
        <f t="shared" si="11"/>
        <v>4</v>
      </c>
      <c r="G31" s="436"/>
      <c r="H31" s="828" t="s">
        <v>562</v>
      </c>
      <c r="I31" s="828" t="s">
        <v>562</v>
      </c>
      <c r="J31" s="828" t="s">
        <v>562</v>
      </c>
      <c r="K31" s="828" t="s">
        <v>562</v>
      </c>
      <c r="L31" s="495"/>
      <c r="M31" s="495"/>
      <c r="N31" s="495"/>
      <c r="O31" s="437"/>
      <c r="P31" s="931">
        <f t="shared" si="12"/>
        <v>4</v>
      </c>
      <c r="Q31" s="428"/>
      <c r="R31" s="428"/>
      <c r="S31" s="828" t="s">
        <v>562</v>
      </c>
      <c r="T31" s="828" t="s">
        <v>562</v>
      </c>
      <c r="U31" s="828" t="s">
        <v>562</v>
      </c>
      <c r="V31" s="495" t="s">
        <v>562</v>
      </c>
      <c r="W31" s="437"/>
      <c r="X31" s="930">
        <f t="shared" si="13"/>
        <v>2</v>
      </c>
      <c r="Y31" s="436"/>
      <c r="Z31" s="428" t="s">
        <v>562</v>
      </c>
      <c r="AA31" s="828"/>
      <c r="AB31" s="437" t="s">
        <v>562</v>
      </c>
      <c r="AC31" s="931">
        <f t="shared" si="14"/>
        <v>0</v>
      </c>
      <c r="AD31" s="436"/>
      <c r="AE31" s="828"/>
      <c r="AF31" s="437"/>
      <c r="AG31" s="428"/>
      <c r="AH31" s="528" t="s">
        <v>1290</v>
      </c>
      <c r="AI31" s="494" t="s">
        <v>1597</v>
      </c>
      <c r="AJ31" s="538"/>
      <c r="AK31" s="406"/>
      <c r="AL31" s="567"/>
    </row>
    <row r="32" spans="1:42" ht="38.25">
      <c r="A32" s="1551"/>
      <c r="B32" s="1551"/>
      <c r="C32" s="829" t="s">
        <v>1055</v>
      </c>
      <c r="D32" s="422" t="s">
        <v>1288</v>
      </c>
      <c r="E32" s="914">
        <f t="shared" si="10"/>
        <v>0</v>
      </c>
      <c r="F32" s="930">
        <f t="shared" si="11"/>
        <v>0</v>
      </c>
      <c r="G32" s="436"/>
      <c r="H32" s="828"/>
      <c r="I32" s="828"/>
      <c r="J32" s="828"/>
      <c r="K32" s="828"/>
      <c r="L32" s="495"/>
      <c r="M32" s="495"/>
      <c r="N32" s="495"/>
      <c r="O32" s="437"/>
      <c r="P32" s="931">
        <f t="shared" si="12"/>
        <v>0</v>
      </c>
      <c r="Q32" s="428"/>
      <c r="R32" s="428"/>
      <c r="S32" s="828"/>
      <c r="T32" s="828"/>
      <c r="U32" s="828"/>
      <c r="V32" s="495"/>
      <c r="W32" s="437"/>
      <c r="X32" s="930">
        <f t="shared" si="13"/>
        <v>0</v>
      </c>
      <c r="Y32" s="436"/>
      <c r="Z32" s="428"/>
      <c r="AA32" s="828"/>
      <c r="AB32" s="437"/>
      <c r="AC32" s="931">
        <f t="shared" si="14"/>
        <v>0</v>
      </c>
      <c r="AD32" s="436"/>
      <c r="AE32" s="828"/>
      <c r="AF32" s="437"/>
      <c r="AG32" s="428"/>
      <c r="AH32" s="528" t="s">
        <v>1287</v>
      </c>
      <c r="AI32" s="494" t="s">
        <v>1286</v>
      </c>
      <c r="AJ32" s="538"/>
      <c r="AK32" s="406"/>
      <c r="AL32" s="567"/>
    </row>
    <row r="33" spans="1:38" ht="51">
      <c r="A33" s="1551"/>
      <c r="B33" s="1551"/>
      <c r="C33" s="829" t="s">
        <v>1054</v>
      </c>
      <c r="D33" s="422" t="s">
        <v>1598</v>
      </c>
      <c r="E33" s="926">
        <f t="shared" si="10"/>
        <v>10</v>
      </c>
      <c r="F33" s="930">
        <f t="shared" si="11"/>
        <v>3</v>
      </c>
      <c r="G33" s="436"/>
      <c r="H33" s="828" t="s">
        <v>562</v>
      </c>
      <c r="I33" s="828" t="s">
        <v>562</v>
      </c>
      <c r="J33" s="828"/>
      <c r="K33" s="828" t="s">
        <v>562</v>
      </c>
      <c r="L33" s="495"/>
      <c r="M33" s="495"/>
      <c r="N33" s="495"/>
      <c r="O33" s="437"/>
      <c r="P33" s="931">
        <f t="shared" si="12"/>
        <v>5</v>
      </c>
      <c r="Q33" s="428"/>
      <c r="R33" s="428" t="s">
        <v>562</v>
      </c>
      <c r="S33" s="828" t="s">
        <v>562</v>
      </c>
      <c r="T33" s="828" t="s">
        <v>562</v>
      </c>
      <c r="U33" s="828" t="s">
        <v>562</v>
      </c>
      <c r="V33" s="495" t="s">
        <v>562</v>
      </c>
      <c r="W33" s="437"/>
      <c r="X33" s="930">
        <f t="shared" si="13"/>
        <v>2</v>
      </c>
      <c r="Y33" s="436"/>
      <c r="Z33" s="428" t="s">
        <v>562</v>
      </c>
      <c r="AA33" s="828"/>
      <c r="AB33" s="437" t="s">
        <v>562</v>
      </c>
      <c r="AC33" s="931">
        <f t="shared" si="14"/>
        <v>0</v>
      </c>
      <c r="AD33" s="436"/>
      <c r="AE33" s="828"/>
      <c r="AF33" s="437"/>
      <c r="AG33" s="428"/>
      <c r="AH33" s="528" t="s">
        <v>1599</v>
      </c>
      <c r="AI33" s="494" t="s">
        <v>1600</v>
      </c>
      <c r="AJ33" s="538"/>
      <c r="AK33" s="406"/>
      <c r="AL33" s="567"/>
    </row>
    <row r="34" spans="1:38" ht="51">
      <c r="A34" s="1551"/>
      <c r="B34" s="1551"/>
      <c r="C34" s="829" t="s">
        <v>1601</v>
      </c>
      <c r="D34" s="422" t="s">
        <v>1598</v>
      </c>
      <c r="E34" s="926">
        <f t="shared" si="10"/>
        <v>8</v>
      </c>
      <c r="F34" s="930">
        <f t="shared" si="11"/>
        <v>1</v>
      </c>
      <c r="G34" s="436"/>
      <c r="H34" s="828"/>
      <c r="I34" s="828" t="s">
        <v>562</v>
      </c>
      <c r="J34" s="828"/>
      <c r="K34" s="828"/>
      <c r="L34" s="495"/>
      <c r="M34" s="495"/>
      <c r="N34" s="495"/>
      <c r="O34" s="437"/>
      <c r="P34" s="931">
        <f t="shared" si="12"/>
        <v>5</v>
      </c>
      <c r="Q34" s="428"/>
      <c r="R34" s="428" t="s">
        <v>562</v>
      </c>
      <c r="S34" s="828" t="s">
        <v>562</v>
      </c>
      <c r="T34" s="828" t="s">
        <v>562</v>
      </c>
      <c r="U34" s="828" t="s">
        <v>562</v>
      </c>
      <c r="V34" s="495" t="s">
        <v>562</v>
      </c>
      <c r="W34" s="437"/>
      <c r="X34" s="930">
        <f t="shared" si="13"/>
        <v>2</v>
      </c>
      <c r="Y34" s="436"/>
      <c r="Z34" s="428" t="s">
        <v>562</v>
      </c>
      <c r="AA34" s="828"/>
      <c r="AB34" s="437" t="s">
        <v>562</v>
      </c>
      <c r="AC34" s="931">
        <f t="shared" si="14"/>
        <v>0</v>
      </c>
      <c r="AD34" s="436"/>
      <c r="AE34" s="828"/>
      <c r="AF34" s="437"/>
      <c r="AG34" s="428"/>
      <c r="AH34" s="528" t="s">
        <v>1599</v>
      </c>
      <c r="AI34" s="494" t="s">
        <v>1284</v>
      </c>
      <c r="AJ34" s="538"/>
      <c r="AK34" s="406"/>
      <c r="AL34" s="567"/>
    </row>
    <row r="35" spans="1:38" ht="25.5">
      <c r="A35" s="1551"/>
      <c r="B35" s="1551"/>
      <c r="C35" s="829" t="s">
        <v>1076</v>
      </c>
      <c r="D35" s="422" t="s">
        <v>1598</v>
      </c>
      <c r="E35" s="914">
        <f t="shared" si="10"/>
        <v>0</v>
      </c>
      <c r="F35" s="930">
        <f t="shared" si="11"/>
        <v>0</v>
      </c>
      <c r="G35" s="436"/>
      <c r="H35" s="828"/>
      <c r="I35" s="828"/>
      <c r="J35" s="828"/>
      <c r="K35" s="828"/>
      <c r="L35" s="495"/>
      <c r="M35" s="495"/>
      <c r="N35" s="495"/>
      <c r="O35" s="437"/>
      <c r="P35" s="931">
        <f t="shared" si="12"/>
        <v>0</v>
      </c>
      <c r="Q35" s="428"/>
      <c r="R35" s="428"/>
      <c r="S35" s="828"/>
      <c r="T35" s="828"/>
      <c r="U35" s="828"/>
      <c r="V35" s="495"/>
      <c r="W35" s="437"/>
      <c r="X35" s="930">
        <f t="shared" si="13"/>
        <v>0</v>
      </c>
      <c r="Y35" s="436"/>
      <c r="Z35" s="428"/>
      <c r="AA35" s="828"/>
      <c r="AB35" s="437"/>
      <c r="AC35" s="931">
        <f t="shared" si="14"/>
        <v>0</v>
      </c>
      <c r="AD35" s="436"/>
      <c r="AE35" s="828"/>
      <c r="AF35" s="437"/>
      <c r="AG35" s="428"/>
      <c r="AH35" s="528" t="s">
        <v>1599</v>
      </c>
      <c r="AI35" s="494" t="s">
        <v>1281</v>
      </c>
      <c r="AJ35" s="538"/>
      <c r="AK35" s="406"/>
      <c r="AL35" s="567"/>
    </row>
    <row r="36" spans="1:38" ht="51">
      <c r="A36" s="1551"/>
      <c r="B36" s="1551"/>
      <c r="C36" s="829" t="s">
        <v>965</v>
      </c>
      <c r="D36" s="422" t="s">
        <v>1280</v>
      </c>
      <c r="E36" s="914">
        <f t="shared" si="10"/>
        <v>1</v>
      </c>
      <c r="F36" s="930">
        <f t="shared" si="11"/>
        <v>0</v>
      </c>
      <c r="G36" s="436"/>
      <c r="H36" s="828"/>
      <c r="I36" s="828"/>
      <c r="J36" s="828"/>
      <c r="K36" s="828"/>
      <c r="L36" s="495"/>
      <c r="M36" s="495"/>
      <c r="N36" s="495"/>
      <c r="O36" s="437"/>
      <c r="P36" s="931">
        <f t="shared" si="12"/>
        <v>1</v>
      </c>
      <c r="Q36" s="428"/>
      <c r="R36" s="428" t="s">
        <v>562</v>
      </c>
      <c r="S36" s="828"/>
      <c r="T36" s="828"/>
      <c r="U36" s="828"/>
      <c r="V36" s="495"/>
      <c r="W36" s="437"/>
      <c r="X36" s="930">
        <f t="shared" si="13"/>
        <v>0</v>
      </c>
      <c r="Y36" s="436"/>
      <c r="Z36" s="428"/>
      <c r="AA36" s="828"/>
      <c r="AB36" s="437"/>
      <c r="AC36" s="931">
        <f t="shared" si="14"/>
        <v>0</v>
      </c>
      <c r="AD36" s="436"/>
      <c r="AE36" s="828"/>
      <c r="AF36" s="437"/>
      <c r="AG36" s="428"/>
      <c r="AH36" s="528" t="s">
        <v>1400</v>
      </c>
      <c r="AI36" s="494" t="s">
        <v>1401</v>
      </c>
      <c r="AJ36" s="538"/>
      <c r="AK36" s="406"/>
      <c r="AL36" s="567"/>
    </row>
    <row r="37" spans="1:38" ht="25.5">
      <c r="A37" s="1551"/>
      <c r="B37" s="1551"/>
      <c r="C37" s="829" t="s">
        <v>999</v>
      </c>
      <c r="D37" s="422" t="s">
        <v>1279</v>
      </c>
      <c r="E37" s="926">
        <f t="shared" si="10"/>
        <v>8</v>
      </c>
      <c r="F37" s="930">
        <f t="shared" si="11"/>
        <v>1</v>
      </c>
      <c r="G37" s="436"/>
      <c r="H37" s="828"/>
      <c r="I37" s="828" t="s">
        <v>562</v>
      </c>
      <c r="J37" s="828"/>
      <c r="K37" s="828"/>
      <c r="L37" s="495"/>
      <c r="M37" s="495"/>
      <c r="N37" s="495"/>
      <c r="O37" s="437"/>
      <c r="P37" s="931">
        <f t="shared" si="12"/>
        <v>5</v>
      </c>
      <c r="Q37" s="428"/>
      <c r="R37" s="428" t="s">
        <v>562</v>
      </c>
      <c r="S37" s="828" t="s">
        <v>562</v>
      </c>
      <c r="T37" s="828" t="s">
        <v>562</v>
      </c>
      <c r="U37" s="828" t="s">
        <v>562</v>
      </c>
      <c r="V37" s="495" t="s">
        <v>562</v>
      </c>
      <c r="W37" s="437"/>
      <c r="X37" s="930">
        <f t="shared" si="13"/>
        <v>2</v>
      </c>
      <c r="Y37" s="436"/>
      <c r="Z37" s="428" t="s">
        <v>562</v>
      </c>
      <c r="AA37" s="828"/>
      <c r="AB37" s="437" t="s">
        <v>562</v>
      </c>
      <c r="AC37" s="931">
        <f t="shared" si="14"/>
        <v>0</v>
      </c>
      <c r="AD37" s="436"/>
      <c r="AE37" s="828"/>
      <c r="AF37" s="437"/>
      <c r="AG37" s="428"/>
      <c r="AH37" s="528" t="s">
        <v>1278</v>
      </c>
      <c r="AI37" s="494" t="s">
        <v>1402</v>
      </c>
      <c r="AJ37" s="538"/>
      <c r="AK37" s="406"/>
      <c r="AL37" s="567"/>
    </row>
    <row r="38" spans="1:38" ht="25.5">
      <c r="A38" s="1551"/>
      <c r="B38" s="1551"/>
      <c r="C38" s="1520" t="s">
        <v>1075</v>
      </c>
      <c r="D38" s="422" t="s">
        <v>1277</v>
      </c>
      <c r="E38" s="914">
        <f t="shared" si="10"/>
        <v>0</v>
      </c>
      <c r="F38" s="930">
        <f t="shared" si="11"/>
        <v>0</v>
      </c>
      <c r="G38" s="436"/>
      <c r="H38" s="828"/>
      <c r="I38" s="828"/>
      <c r="J38" s="828"/>
      <c r="K38" s="828"/>
      <c r="L38" s="495"/>
      <c r="M38" s="495"/>
      <c r="N38" s="495"/>
      <c r="O38" s="437"/>
      <c r="P38" s="931">
        <f t="shared" si="12"/>
        <v>0</v>
      </c>
      <c r="Q38" s="428"/>
      <c r="R38" s="428"/>
      <c r="S38" s="828"/>
      <c r="T38" s="828"/>
      <c r="U38" s="828"/>
      <c r="V38" s="495"/>
      <c r="W38" s="437"/>
      <c r="X38" s="930">
        <f t="shared" si="13"/>
        <v>0</v>
      </c>
      <c r="Y38" s="436"/>
      <c r="Z38" s="428"/>
      <c r="AA38" s="828"/>
      <c r="AB38" s="437"/>
      <c r="AC38" s="931">
        <f t="shared" si="14"/>
        <v>0</v>
      </c>
      <c r="AD38" s="436"/>
      <c r="AE38" s="828"/>
      <c r="AF38" s="437"/>
      <c r="AG38" s="428"/>
      <c r="AH38" s="528" t="s">
        <v>1276</v>
      </c>
      <c r="AI38" s="494"/>
      <c r="AJ38" s="538"/>
      <c r="AK38" s="406"/>
      <c r="AL38" s="567"/>
    </row>
    <row r="39" spans="1:38" ht="38.25">
      <c r="A39" s="1551"/>
      <c r="B39" s="1551"/>
      <c r="C39" s="1552"/>
      <c r="D39" s="422" t="s">
        <v>1275</v>
      </c>
      <c r="E39" s="926">
        <f t="shared" si="10"/>
        <v>9</v>
      </c>
      <c r="F39" s="930">
        <f t="shared" si="11"/>
        <v>2</v>
      </c>
      <c r="G39" s="436"/>
      <c r="H39" s="828" t="s">
        <v>562</v>
      </c>
      <c r="I39" s="828"/>
      <c r="J39" s="828"/>
      <c r="K39" s="828"/>
      <c r="L39" s="495" t="s">
        <v>562</v>
      </c>
      <c r="M39" s="495"/>
      <c r="N39" s="495"/>
      <c r="O39" s="437"/>
      <c r="P39" s="931">
        <f t="shared" si="12"/>
        <v>5</v>
      </c>
      <c r="Q39" s="428"/>
      <c r="R39" s="428" t="s">
        <v>562</v>
      </c>
      <c r="S39" s="828" t="s">
        <v>562</v>
      </c>
      <c r="T39" s="828" t="s">
        <v>562</v>
      </c>
      <c r="U39" s="828" t="s">
        <v>562</v>
      </c>
      <c r="V39" s="495" t="s">
        <v>562</v>
      </c>
      <c r="W39" s="437"/>
      <c r="X39" s="930">
        <f t="shared" si="13"/>
        <v>2</v>
      </c>
      <c r="Y39" s="436"/>
      <c r="Z39" s="428" t="s">
        <v>562</v>
      </c>
      <c r="AA39" s="828"/>
      <c r="AB39" s="437" t="s">
        <v>562</v>
      </c>
      <c r="AC39" s="931">
        <f t="shared" si="14"/>
        <v>0</v>
      </c>
      <c r="AD39" s="436"/>
      <c r="AE39" s="828"/>
      <c r="AF39" s="437"/>
      <c r="AG39" s="428"/>
      <c r="AH39" s="528" t="s">
        <v>1274</v>
      </c>
      <c r="AI39" s="494" t="s">
        <v>1273</v>
      </c>
      <c r="AJ39" s="538"/>
      <c r="AK39" s="406"/>
      <c r="AL39" s="567"/>
    </row>
    <row r="40" spans="1:38" ht="90">
      <c r="A40" s="1551"/>
      <c r="B40" s="1551"/>
      <c r="C40" s="829" t="s">
        <v>1053</v>
      </c>
      <c r="D40" s="422" t="s">
        <v>1272</v>
      </c>
      <c r="E40" s="926">
        <f t="shared" si="10"/>
        <v>9</v>
      </c>
      <c r="F40" s="930">
        <f t="shared" si="11"/>
        <v>2</v>
      </c>
      <c r="G40" s="436"/>
      <c r="H40" s="828" t="s">
        <v>562</v>
      </c>
      <c r="I40" s="828" t="s">
        <v>562</v>
      </c>
      <c r="J40" s="828"/>
      <c r="K40" s="828"/>
      <c r="L40" s="495"/>
      <c r="M40" s="495"/>
      <c r="N40" s="495"/>
      <c r="O40" s="437"/>
      <c r="P40" s="931">
        <f t="shared" si="12"/>
        <v>5</v>
      </c>
      <c r="Q40" s="428"/>
      <c r="R40" s="428" t="s">
        <v>562</v>
      </c>
      <c r="S40" s="828" t="s">
        <v>562</v>
      </c>
      <c r="T40" s="828" t="s">
        <v>562</v>
      </c>
      <c r="U40" s="828" t="s">
        <v>562</v>
      </c>
      <c r="V40" s="495" t="s">
        <v>562</v>
      </c>
      <c r="W40" s="437"/>
      <c r="X40" s="930">
        <f t="shared" si="13"/>
        <v>2</v>
      </c>
      <c r="Y40" s="436"/>
      <c r="Z40" s="428" t="s">
        <v>562</v>
      </c>
      <c r="AA40" s="828"/>
      <c r="AB40" s="437" t="s">
        <v>562</v>
      </c>
      <c r="AC40" s="931">
        <f t="shared" si="14"/>
        <v>0</v>
      </c>
      <c r="AD40" s="436"/>
      <c r="AE40" s="828"/>
      <c r="AF40" s="437"/>
      <c r="AG40" s="428"/>
      <c r="AH40" s="528" t="s">
        <v>1602</v>
      </c>
      <c r="AI40" s="494" t="s">
        <v>1603</v>
      </c>
      <c r="AJ40" s="538"/>
      <c r="AK40" s="406"/>
      <c r="AL40" s="567"/>
    </row>
    <row r="41" spans="1:38" s="590" customFormat="1" ht="16.5" customHeight="1">
      <c r="A41" s="932" t="s">
        <v>1589</v>
      </c>
      <c r="B41" s="932"/>
      <c r="C41" s="336"/>
      <c r="D41" s="422"/>
      <c r="E41" s="933"/>
      <c r="F41" s="934"/>
      <c r="G41" s="935">
        <f>COUNTIF(G26:G40, "M")</f>
        <v>0</v>
      </c>
      <c r="H41" s="936">
        <f t="shared" ref="H41:AF41" si="15">COUNTIF(H26:H40, "M")</f>
        <v>0</v>
      </c>
      <c r="I41" s="936">
        <f t="shared" si="15"/>
        <v>0</v>
      </c>
      <c r="J41" s="936">
        <f t="shared" si="15"/>
        <v>0</v>
      </c>
      <c r="K41" s="936">
        <f t="shared" si="15"/>
        <v>0</v>
      </c>
      <c r="L41" s="936">
        <f t="shared" si="15"/>
        <v>0</v>
      </c>
      <c r="M41" s="936">
        <f t="shared" si="15"/>
        <v>0</v>
      </c>
      <c r="N41" s="936">
        <f t="shared" si="15"/>
        <v>0</v>
      </c>
      <c r="O41" s="937">
        <f t="shared" si="15"/>
        <v>0</v>
      </c>
      <c r="P41" s="938"/>
      <c r="Q41" s="935">
        <f t="shared" si="15"/>
        <v>0</v>
      </c>
      <c r="R41" s="939">
        <f t="shared" si="15"/>
        <v>0</v>
      </c>
      <c r="S41" s="936">
        <f t="shared" si="15"/>
        <v>0</v>
      </c>
      <c r="T41" s="936">
        <f t="shared" si="15"/>
        <v>0</v>
      </c>
      <c r="U41" s="936">
        <f t="shared" si="15"/>
        <v>0</v>
      </c>
      <c r="V41" s="937">
        <f t="shared" si="15"/>
        <v>0</v>
      </c>
      <c r="W41" s="931">
        <f t="shared" si="15"/>
        <v>0</v>
      </c>
      <c r="X41" s="938"/>
      <c r="Y41" s="939">
        <f t="shared" si="15"/>
        <v>0</v>
      </c>
      <c r="Z41" s="936">
        <f t="shared" si="15"/>
        <v>0</v>
      </c>
      <c r="AA41" s="936">
        <f t="shared" si="15"/>
        <v>0</v>
      </c>
      <c r="AB41" s="931">
        <f t="shared" si="15"/>
        <v>0</v>
      </c>
      <c r="AC41" s="938"/>
      <c r="AD41" s="939">
        <f t="shared" si="15"/>
        <v>0</v>
      </c>
      <c r="AE41" s="936">
        <f t="shared" si="15"/>
        <v>0</v>
      </c>
      <c r="AF41" s="931">
        <f t="shared" si="15"/>
        <v>0</v>
      </c>
      <c r="AG41" s="940"/>
      <c r="AH41" s="561"/>
      <c r="AI41" s="497"/>
      <c r="AJ41" s="941"/>
      <c r="AK41" s="406"/>
      <c r="AL41" s="406"/>
    </row>
    <row r="42" spans="1:38" s="590" customFormat="1" ht="12.75">
      <c r="A42" s="932" t="s">
        <v>1590</v>
      </c>
      <c r="B42" s="932"/>
      <c r="C42" s="942"/>
      <c r="D42" s="422"/>
      <c r="E42" s="933"/>
      <c r="F42" s="934"/>
      <c r="G42" s="935">
        <f t="shared" ref="G42:O42" si="16">COUNTIF(G26:G40, "H")</f>
        <v>0</v>
      </c>
      <c r="H42" s="935">
        <f t="shared" si="16"/>
        <v>7</v>
      </c>
      <c r="I42" s="935">
        <f t="shared" si="16"/>
        <v>9</v>
      </c>
      <c r="J42" s="935">
        <f t="shared" si="16"/>
        <v>1</v>
      </c>
      <c r="K42" s="935">
        <f t="shared" si="16"/>
        <v>3</v>
      </c>
      <c r="L42" s="935">
        <f t="shared" si="16"/>
        <v>1</v>
      </c>
      <c r="M42" s="935">
        <f t="shared" si="16"/>
        <v>0</v>
      </c>
      <c r="N42" s="935">
        <f t="shared" si="16"/>
        <v>0</v>
      </c>
      <c r="O42" s="935">
        <f t="shared" si="16"/>
        <v>1</v>
      </c>
      <c r="P42" s="935"/>
      <c r="Q42" s="935">
        <f t="shared" ref="Q42:W42" si="17">COUNTIF(Q26:Q40, "H")</f>
        <v>0</v>
      </c>
      <c r="R42" s="939">
        <f t="shared" si="17"/>
        <v>8</v>
      </c>
      <c r="S42" s="935">
        <f t="shared" si="17"/>
        <v>10</v>
      </c>
      <c r="T42" s="935">
        <f t="shared" si="17"/>
        <v>10</v>
      </c>
      <c r="U42" s="935">
        <f t="shared" si="17"/>
        <v>10</v>
      </c>
      <c r="V42" s="943">
        <f t="shared" si="17"/>
        <v>10</v>
      </c>
      <c r="W42" s="931">
        <f t="shared" si="17"/>
        <v>0</v>
      </c>
      <c r="X42" s="939"/>
      <c r="Y42" s="935">
        <f>COUNTIF(Y26:Y40, "H")</f>
        <v>0</v>
      </c>
      <c r="Z42" s="935">
        <f>COUNTIF(Z26:Z40, "H")</f>
        <v>10</v>
      </c>
      <c r="AA42" s="935">
        <f>COUNTIF(AA26:AA40, "H")</f>
        <v>0</v>
      </c>
      <c r="AB42" s="935">
        <f>COUNTIF(AB26:AB40, "H")</f>
        <v>9</v>
      </c>
      <c r="AC42" s="935"/>
      <c r="AD42" s="935">
        <f>COUNTIF(AD26:AD40, "H")</f>
        <v>0</v>
      </c>
      <c r="AE42" s="935">
        <f>COUNTIF(AE26:AE40, "H")</f>
        <v>0</v>
      </c>
      <c r="AF42" s="935">
        <f>COUNTIF(AF26:AF40, "H")</f>
        <v>0</v>
      </c>
      <c r="AG42" s="940"/>
      <c r="AH42" s="561"/>
      <c r="AI42" s="497"/>
      <c r="AJ42" s="941"/>
      <c r="AK42" s="406"/>
      <c r="AL42" s="406"/>
    </row>
    <row r="43" spans="1:38" ht="25.5">
      <c r="A43" s="1528" t="s">
        <v>587</v>
      </c>
      <c r="B43" s="1528" t="s">
        <v>1038</v>
      </c>
      <c r="C43" s="1531" t="s">
        <v>1024</v>
      </c>
      <c r="D43" s="425" t="s">
        <v>1269</v>
      </c>
      <c r="E43" s="914">
        <f t="shared" ref="E43:E56" si="18">SUM(F43+P43+X43)</f>
        <v>0</v>
      </c>
      <c r="F43" s="944">
        <f t="shared" ref="F43:F80" si="19">COUNTIF(G43:O43,"H")</f>
        <v>0</v>
      </c>
      <c r="G43" s="438"/>
      <c r="H43" s="838"/>
      <c r="I43" s="838"/>
      <c r="J43" s="838"/>
      <c r="K43" s="838"/>
      <c r="L43" s="501"/>
      <c r="M43" s="501"/>
      <c r="N43" s="501"/>
      <c r="O43" s="439"/>
      <c r="P43" s="945">
        <f t="shared" ref="P43:P56" si="20">COUNTIF(Q43:W43,"H")</f>
        <v>0</v>
      </c>
      <c r="Q43" s="429"/>
      <c r="R43" s="429"/>
      <c r="S43" s="838"/>
      <c r="T43" s="838"/>
      <c r="U43" s="838"/>
      <c r="V43" s="501"/>
      <c r="W43" s="439"/>
      <c r="X43" s="944">
        <f t="shared" ref="X43:X56" si="21">COUNTIF(Y43:AB43,"H")</f>
        <v>0</v>
      </c>
      <c r="Y43" s="438"/>
      <c r="Z43" s="429"/>
      <c r="AA43" s="838"/>
      <c r="AB43" s="439"/>
      <c r="AC43" s="945">
        <f>COUNTIF(AD43:AF43,"H")</f>
        <v>0</v>
      </c>
      <c r="AD43" s="438"/>
      <c r="AE43" s="838"/>
      <c r="AF43" s="439"/>
      <c r="AG43" s="429"/>
      <c r="AH43" s="552"/>
      <c r="AI43" s="500"/>
      <c r="AJ43" s="539"/>
      <c r="AK43" s="568"/>
      <c r="AL43" s="567"/>
    </row>
    <row r="44" spans="1:38" ht="45">
      <c r="A44" s="1529"/>
      <c r="B44" s="1529"/>
      <c r="C44" s="1532"/>
      <c r="D44" s="425" t="s">
        <v>1074</v>
      </c>
      <c r="E44" s="914">
        <f t="shared" si="18"/>
        <v>2</v>
      </c>
      <c r="F44" s="944">
        <f t="shared" si="19"/>
        <v>2</v>
      </c>
      <c r="G44" s="438"/>
      <c r="H44" s="838" t="s">
        <v>562</v>
      </c>
      <c r="I44" s="838"/>
      <c r="J44" s="838" t="s">
        <v>562</v>
      </c>
      <c r="K44" s="838"/>
      <c r="L44" s="501"/>
      <c r="M44" s="501"/>
      <c r="N44" s="501"/>
      <c r="O44" s="439"/>
      <c r="P44" s="945">
        <f t="shared" si="20"/>
        <v>0</v>
      </c>
      <c r="Q44" s="429"/>
      <c r="R44" s="429"/>
      <c r="S44" s="838"/>
      <c r="T44" s="838"/>
      <c r="U44" s="838"/>
      <c r="V44" s="501"/>
      <c r="W44" s="439"/>
      <c r="X44" s="944">
        <f t="shared" si="21"/>
        <v>0</v>
      </c>
      <c r="Y44" s="438"/>
      <c r="Z44" s="429"/>
      <c r="AA44" s="838"/>
      <c r="AB44" s="439"/>
      <c r="AC44" s="945">
        <f t="shared" ref="AC44:AC56" si="22">COUNTIF(AD44:AF44,"H")</f>
        <v>0</v>
      </c>
      <c r="AD44" s="438"/>
      <c r="AE44" s="838"/>
      <c r="AF44" s="439"/>
      <c r="AG44" s="429"/>
      <c r="AH44" s="553" t="s">
        <v>1604</v>
      </c>
      <c r="AI44" s="500" t="s">
        <v>1605</v>
      </c>
      <c r="AJ44" s="539"/>
      <c r="AK44" s="568"/>
      <c r="AL44" s="567"/>
    </row>
    <row r="45" spans="1:38" ht="51">
      <c r="A45" s="1529"/>
      <c r="B45" s="1529"/>
      <c r="C45" s="331" t="s">
        <v>1266</v>
      </c>
      <c r="D45" s="425" t="s">
        <v>1265</v>
      </c>
      <c r="E45" s="914">
        <f t="shared" si="18"/>
        <v>3</v>
      </c>
      <c r="F45" s="944">
        <f t="shared" si="19"/>
        <v>3</v>
      </c>
      <c r="G45" s="438"/>
      <c r="H45" s="838" t="s">
        <v>562</v>
      </c>
      <c r="I45" s="838"/>
      <c r="J45" s="838" t="s">
        <v>562</v>
      </c>
      <c r="K45" s="838" t="s">
        <v>562</v>
      </c>
      <c r="L45" s="501"/>
      <c r="M45" s="501"/>
      <c r="N45" s="501"/>
      <c r="O45" s="439"/>
      <c r="P45" s="945">
        <f t="shared" si="20"/>
        <v>0</v>
      </c>
      <c r="Q45" s="429"/>
      <c r="R45" s="429"/>
      <c r="S45" s="838"/>
      <c r="T45" s="838"/>
      <c r="U45" s="838"/>
      <c r="V45" s="501"/>
      <c r="W45" s="439"/>
      <c r="X45" s="944">
        <f t="shared" si="21"/>
        <v>0</v>
      </c>
      <c r="Y45" s="438"/>
      <c r="Z45" s="429"/>
      <c r="AA45" s="838"/>
      <c r="AB45" s="439"/>
      <c r="AC45" s="945">
        <f t="shared" si="22"/>
        <v>0</v>
      </c>
      <c r="AD45" s="438"/>
      <c r="AE45" s="838"/>
      <c r="AF45" s="439"/>
      <c r="AG45" s="429"/>
      <c r="AH45" s="553" t="s">
        <v>1264</v>
      </c>
      <c r="AI45" s="545" t="s">
        <v>1403</v>
      </c>
      <c r="AJ45" s="539"/>
      <c r="AK45" s="568"/>
      <c r="AL45" s="567"/>
    </row>
    <row r="46" spans="1:38" ht="51">
      <c r="A46" s="1529"/>
      <c r="B46" s="1529"/>
      <c r="C46" s="331" t="s">
        <v>1263</v>
      </c>
      <c r="D46" s="425" t="s">
        <v>1404</v>
      </c>
      <c r="E46" s="914">
        <f t="shared" si="18"/>
        <v>0</v>
      </c>
      <c r="F46" s="944">
        <f t="shared" si="19"/>
        <v>0</v>
      </c>
      <c r="G46" s="438"/>
      <c r="H46" s="838"/>
      <c r="I46" s="838"/>
      <c r="J46" s="838"/>
      <c r="K46" s="838"/>
      <c r="L46" s="501"/>
      <c r="M46" s="501"/>
      <c r="N46" s="501"/>
      <c r="O46" s="439"/>
      <c r="P46" s="945">
        <f t="shared" si="20"/>
        <v>0</v>
      </c>
      <c r="Q46" s="429"/>
      <c r="R46" s="429"/>
      <c r="S46" s="838"/>
      <c r="T46" s="838"/>
      <c r="U46" s="838"/>
      <c r="V46" s="501"/>
      <c r="W46" s="439"/>
      <c r="X46" s="944">
        <f t="shared" si="21"/>
        <v>0</v>
      </c>
      <c r="Y46" s="438"/>
      <c r="Z46" s="429"/>
      <c r="AA46" s="838"/>
      <c r="AB46" s="439"/>
      <c r="AC46" s="945">
        <f t="shared" si="22"/>
        <v>0</v>
      </c>
      <c r="AD46" s="438"/>
      <c r="AE46" s="838"/>
      <c r="AF46" s="439"/>
      <c r="AG46" s="429"/>
      <c r="AH46" s="553" t="s">
        <v>1262</v>
      </c>
      <c r="AI46" s="545" t="s">
        <v>1261</v>
      </c>
      <c r="AJ46" s="539"/>
      <c r="AK46" s="568"/>
      <c r="AL46" s="567"/>
    </row>
    <row r="47" spans="1:38" ht="33.75">
      <c r="A47" s="1529"/>
      <c r="B47" s="1529"/>
      <c r="C47" s="331" t="s">
        <v>1260</v>
      </c>
      <c r="D47" s="425" t="s">
        <v>1259</v>
      </c>
      <c r="E47" s="926">
        <f t="shared" si="18"/>
        <v>6</v>
      </c>
      <c r="F47" s="944">
        <f t="shared" si="19"/>
        <v>0</v>
      </c>
      <c r="G47" s="438"/>
      <c r="H47" s="838"/>
      <c r="I47" s="838"/>
      <c r="J47" s="838"/>
      <c r="K47" s="838"/>
      <c r="L47" s="501"/>
      <c r="M47" s="501"/>
      <c r="N47" s="501"/>
      <c r="O47" s="439"/>
      <c r="P47" s="945">
        <f t="shared" si="20"/>
        <v>5</v>
      </c>
      <c r="Q47" s="429"/>
      <c r="R47" s="429" t="s">
        <v>562</v>
      </c>
      <c r="S47" s="838" t="s">
        <v>562</v>
      </c>
      <c r="T47" s="838" t="s">
        <v>562</v>
      </c>
      <c r="U47" s="838" t="s">
        <v>562</v>
      </c>
      <c r="V47" s="501" t="s">
        <v>562</v>
      </c>
      <c r="W47" s="439"/>
      <c r="X47" s="944">
        <f t="shared" si="21"/>
        <v>1</v>
      </c>
      <c r="Y47" s="438"/>
      <c r="Z47" s="429"/>
      <c r="AA47" s="838"/>
      <c r="AB47" s="439" t="s">
        <v>562</v>
      </c>
      <c r="AC47" s="945">
        <f t="shared" si="22"/>
        <v>0</v>
      </c>
      <c r="AD47" s="438"/>
      <c r="AE47" s="838"/>
      <c r="AF47" s="439"/>
      <c r="AG47" s="429"/>
      <c r="AH47" s="552"/>
      <c r="AI47" s="500" t="s">
        <v>1258</v>
      </c>
      <c r="AJ47" s="539"/>
      <c r="AK47" s="568"/>
      <c r="AL47" s="567"/>
    </row>
    <row r="48" spans="1:38" ht="25.5">
      <c r="A48" s="1529"/>
      <c r="B48" s="1529"/>
      <c r="C48" s="331" t="s">
        <v>1257</v>
      </c>
      <c r="D48" s="425" t="s">
        <v>1256</v>
      </c>
      <c r="E48" s="914">
        <f t="shared" si="18"/>
        <v>0</v>
      </c>
      <c r="F48" s="944">
        <f t="shared" si="19"/>
        <v>0</v>
      </c>
      <c r="G48" s="438"/>
      <c r="H48" s="838"/>
      <c r="I48" s="838"/>
      <c r="J48" s="838"/>
      <c r="K48" s="838"/>
      <c r="L48" s="501"/>
      <c r="M48" s="501"/>
      <c r="N48" s="501"/>
      <c r="O48" s="439"/>
      <c r="P48" s="945">
        <f t="shared" si="20"/>
        <v>0</v>
      </c>
      <c r="Q48" s="429"/>
      <c r="R48" s="429"/>
      <c r="S48" s="838"/>
      <c r="T48" s="838"/>
      <c r="U48" s="838"/>
      <c r="V48" s="501"/>
      <c r="W48" s="439"/>
      <c r="X48" s="944">
        <f t="shared" si="21"/>
        <v>0</v>
      </c>
      <c r="Y48" s="438"/>
      <c r="Z48" s="429"/>
      <c r="AA48" s="838"/>
      <c r="AB48" s="439"/>
      <c r="AC48" s="945">
        <f t="shared" si="22"/>
        <v>0</v>
      </c>
      <c r="AD48" s="438"/>
      <c r="AE48" s="838"/>
      <c r="AF48" s="439"/>
      <c r="AG48" s="429"/>
      <c r="AH48" s="552"/>
      <c r="AI48" s="500" t="s">
        <v>1255</v>
      </c>
      <c r="AJ48" s="539"/>
      <c r="AK48" s="568"/>
      <c r="AL48" s="567"/>
    </row>
    <row r="49" spans="1:38" ht="38.25">
      <c r="A49" s="1529"/>
      <c r="B49" s="1529"/>
      <c r="C49" s="331" t="s">
        <v>1254</v>
      </c>
      <c r="D49" s="425" t="s">
        <v>1253</v>
      </c>
      <c r="E49" s="914">
        <f t="shared" si="18"/>
        <v>0</v>
      </c>
      <c r="F49" s="944">
        <f t="shared" si="19"/>
        <v>0</v>
      </c>
      <c r="G49" s="438"/>
      <c r="H49" s="838"/>
      <c r="I49" s="838"/>
      <c r="J49" s="838"/>
      <c r="K49" s="838"/>
      <c r="L49" s="501"/>
      <c r="M49" s="501"/>
      <c r="N49" s="501"/>
      <c r="O49" s="439"/>
      <c r="P49" s="945">
        <f t="shared" si="20"/>
        <v>0</v>
      </c>
      <c r="Q49" s="429"/>
      <c r="R49" s="429"/>
      <c r="S49" s="838"/>
      <c r="T49" s="838"/>
      <c r="U49" s="838"/>
      <c r="V49" s="501"/>
      <c r="W49" s="439"/>
      <c r="X49" s="944">
        <f t="shared" si="21"/>
        <v>0</v>
      </c>
      <c r="Y49" s="438"/>
      <c r="Z49" s="429"/>
      <c r="AA49" s="838"/>
      <c r="AB49" s="439"/>
      <c r="AC49" s="945">
        <f t="shared" si="22"/>
        <v>0</v>
      </c>
      <c r="AD49" s="438"/>
      <c r="AE49" s="838"/>
      <c r="AF49" s="439"/>
      <c r="AG49" s="429"/>
      <c r="AH49" s="552"/>
      <c r="AI49" s="500" t="s">
        <v>1252</v>
      </c>
      <c r="AJ49" s="539"/>
      <c r="AK49" s="568"/>
      <c r="AL49" s="567"/>
    </row>
    <row r="50" spans="1:38" ht="45">
      <c r="A50" s="1529"/>
      <c r="B50" s="1529"/>
      <c r="C50" s="331" t="s">
        <v>1011</v>
      </c>
      <c r="D50" s="425" t="s">
        <v>1251</v>
      </c>
      <c r="E50" s="914">
        <f t="shared" si="18"/>
        <v>4</v>
      </c>
      <c r="F50" s="944">
        <f t="shared" si="19"/>
        <v>3</v>
      </c>
      <c r="G50" s="438"/>
      <c r="H50" s="838" t="s">
        <v>562</v>
      </c>
      <c r="I50" s="838"/>
      <c r="J50" s="838"/>
      <c r="K50" s="838" t="s">
        <v>562</v>
      </c>
      <c r="L50" s="501"/>
      <c r="M50" s="501"/>
      <c r="N50" s="501"/>
      <c r="O50" s="439" t="s">
        <v>562</v>
      </c>
      <c r="P50" s="945">
        <f t="shared" si="20"/>
        <v>1</v>
      </c>
      <c r="Q50" s="429"/>
      <c r="R50" s="429" t="s">
        <v>562</v>
      </c>
      <c r="S50" s="838"/>
      <c r="T50" s="838"/>
      <c r="U50" s="838"/>
      <c r="V50" s="501"/>
      <c r="W50" s="439"/>
      <c r="X50" s="944">
        <f t="shared" si="21"/>
        <v>0</v>
      </c>
      <c r="Y50" s="438"/>
      <c r="Z50" s="429"/>
      <c r="AA50" s="838"/>
      <c r="AB50" s="439"/>
      <c r="AC50" s="945">
        <f t="shared" si="22"/>
        <v>0</v>
      </c>
      <c r="AD50" s="438"/>
      <c r="AE50" s="838"/>
      <c r="AF50" s="439"/>
      <c r="AG50" s="429"/>
      <c r="AH50" s="553" t="s">
        <v>1250</v>
      </c>
      <c r="AI50" s="500" t="s">
        <v>1249</v>
      </c>
      <c r="AJ50" s="539"/>
      <c r="AK50" s="568"/>
      <c r="AL50" s="567"/>
    </row>
    <row r="51" spans="1:38" ht="45">
      <c r="A51" s="1529"/>
      <c r="B51" s="1529"/>
      <c r="C51" s="331" t="s">
        <v>1248</v>
      </c>
      <c r="D51" s="425" t="s">
        <v>1247</v>
      </c>
      <c r="E51" s="914">
        <f t="shared" si="18"/>
        <v>0</v>
      </c>
      <c r="F51" s="944">
        <f t="shared" si="19"/>
        <v>0</v>
      </c>
      <c r="G51" s="438"/>
      <c r="H51" s="838"/>
      <c r="I51" s="838"/>
      <c r="J51" s="838"/>
      <c r="K51" s="838"/>
      <c r="L51" s="501"/>
      <c r="M51" s="501"/>
      <c r="N51" s="501"/>
      <c r="O51" s="439"/>
      <c r="P51" s="945">
        <f t="shared" si="20"/>
        <v>0</v>
      </c>
      <c r="Q51" s="429"/>
      <c r="R51" s="429"/>
      <c r="S51" s="838"/>
      <c r="T51" s="838"/>
      <c r="U51" s="838"/>
      <c r="V51" s="501"/>
      <c r="W51" s="439"/>
      <c r="X51" s="944">
        <f t="shared" si="21"/>
        <v>0</v>
      </c>
      <c r="Y51" s="438"/>
      <c r="Z51" s="429"/>
      <c r="AA51" s="838"/>
      <c r="AB51" s="439"/>
      <c r="AC51" s="945">
        <f t="shared" si="22"/>
        <v>0</v>
      </c>
      <c r="AD51" s="438"/>
      <c r="AE51" s="838"/>
      <c r="AF51" s="439"/>
      <c r="AG51" s="429"/>
      <c r="AH51" s="552"/>
      <c r="AI51" s="500" t="s">
        <v>1606</v>
      </c>
      <c r="AJ51" s="539"/>
      <c r="AK51" s="568"/>
      <c r="AL51" s="567"/>
    </row>
    <row r="52" spans="1:38" ht="25.5">
      <c r="A52" s="1529"/>
      <c r="B52" s="1529"/>
      <c r="C52" s="331" t="s">
        <v>505</v>
      </c>
      <c r="D52" s="425" t="s">
        <v>1245</v>
      </c>
      <c r="E52" s="914">
        <f t="shared" si="18"/>
        <v>0</v>
      </c>
      <c r="F52" s="944">
        <f t="shared" si="19"/>
        <v>0</v>
      </c>
      <c r="G52" s="438"/>
      <c r="H52" s="838"/>
      <c r="I52" s="838"/>
      <c r="J52" s="838"/>
      <c r="K52" s="838"/>
      <c r="L52" s="501"/>
      <c r="M52" s="501"/>
      <c r="N52" s="501"/>
      <c r="O52" s="439"/>
      <c r="P52" s="945">
        <f t="shared" si="20"/>
        <v>0</v>
      </c>
      <c r="Q52" s="429"/>
      <c r="R52" s="429"/>
      <c r="S52" s="838"/>
      <c r="T52" s="838"/>
      <c r="U52" s="838"/>
      <c r="V52" s="501"/>
      <c r="W52" s="439"/>
      <c r="X52" s="944">
        <f t="shared" si="21"/>
        <v>0</v>
      </c>
      <c r="Y52" s="438"/>
      <c r="Z52" s="429"/>
      <c r="AA52" s="838"/>
      <c r="AB52" s="439"/>
      <c r="AC52" s="945">
        <f t="shared" si="22"/>
        <v>0</v>
      </c>
      <c r="AD52" s="438"/>
      <c r="AE52" s="838"/>
      <c r="AF52" s="439"/>
      <c r="AG52" s="429"/>
      <c r="AH52" s="552"/>
      <c r="AI52" s="500" t="s">
        <v>1244</v>
      </c>
      <c r="AJ52" s="539"/>
      <c r="AK52" s="568"/>
      <c r="AL52" s="567"/>
    </row>
    <row r="53" spans="1:38" ht="33.75">
      <c r="A53" s="1529"/>
      <c r="B53" s="1529"/>
      <c r="C53" s="331" t="s">
        <v>1010</v>
      </c>
      <c r="D53" s="425" t="s">
        <v>1243</v>
      </c>
      <c r="E53" s="914">
        <f t="shared" si="18"/>
        <v>2</v>
      </c>
      <c r="F53" s="944">
        <f t="shared" si="19"/>
        <v>2</v>
      </c>
      <c r="G53" s="438"/>
      <c r="H53" s="838" t="s">
        <v>562</v>
      </c>
      <c r="I53" s="838"/>
      <c r="J53" s="838"/>
      <c r="K53" s="838" t="s">
        <v>562</v>
      </c>
      <c r="L53" s="501"/>
      <c r="M53" s="501"/>
      <c r="N53" s="501"/>
      <c r="O53" s="439"/>
      <c r="P53" s="945">
        <f t="shared" si="20"/>
        <v>0</v>
      </c>
      <c r="Q53" s="429"/>
      <c r="R53" s="429"/>
      <c r="S53" s="838"/>
      <c r="T53" s="838"/>
      <c r="U53" s="838"/>
      <c r="V53" s="501"/>
      <c r="W53" s="439"/>
      <c r="X53" s="944">
        <f t="shared" si="21"/>
        <v>0</v>
      </c>
      <c r="Y53" s="438"/>
      <c r="Z53" s="429"/>
      <c r="AA53" s="838"/>
      <c r="AB53" s="439"/>
      <c r="AC53" s="945">
        <f t="shared" si="22"/>
        <v>0</v>
      </c>
      <c r="AD53" s="438"/>
      <c r="AE53" s="838"/>
      <c r="AF53" s="439"/>
      <c r="AG53" s="429"/>
      <c r="AH53" s="552"/>
      <c r="AI53" s="500" t="s">
        <v>1607</v>
      </c>
      <c r="AJ53" s="539"/>
      <c r="AK53" s="568"/>
      <c r="AL53" s="567"/>
    </row>
    <row r="54" spans="1:38" ht="51">
      <c r="A54" s="1529"/>
      <c r="B54" s="1529"/>
      <c r="C54" s="331" t="s">
        <v>1608</v>
      </c>
      <c r="D54" s="425" t="s">
        <v>1242</v>
      </c>
      <c r="E54" s="914">
        <f t="shared" si="18"/>
        <v>0</v>
      </c>
      <c r="F54" s="944">
        <f t="shared" si="19"/>
        <v>0</v>
      </c>
      <c r="G54" s="438"/>
      <c r="H54" s="838"/>
      <c r="I54" s="838"/>
      <c r="J54" s="838"/>
      <c r="K54" s="838"/>
      <c r="L54" s="501"/>
      <c r="M54" s="501"/>
      <c r="N54" s="501"/>
      <c r="O54" s="439"/>
      <c r="P54" s="945">
        <f t="shared" si="20"/>
        <v>0</v>
      </c>
      <c r="Q54" s="429"/>
      <c r="R54" s="429"/>
      <c r="S54" s="838"/>
      <c r="T54" s="838"/>
      <c r="U54" s="838"/>
      <c r="V54" s="501"/>
      <c r="W54" s="439"/>
      <c r="X54" s="944">
        <f t="shared" si="21"/>
        <v>0</v>
      </c>
      <c r="Y54" s="438"/>
      <c r="Z54" s="429"/>
      <c r="AA54" s="838"/>
      <c r="AB54" s="439"/>
      <c r="AC54" s="945">
        <f t="shared" si="22"/>
        <v>0</v>
      </c>
      <c r="AD54" s="438"/>
      <c r="AE54" s="838"/>
      <c r="AF54" s="439"/>
      <c r="AG54" s="429"/>
      <c r="AH54" s="552"/>
      <c r="AI54" s="500" t="s">
        <v>1609</v>
      </c>
      <c r="AJ54" s="539"/>
      <c r="AK54" s="568"/>
      <c r="AL54" s="567"/>
    </row>
    <row r="55" spans="1:38" ht="38.25">
      <c r="A55" s="1529"/>
      <c r="B55" s="1529"/>
      <c r="C55" s="331" t="s">
        <v>967</v>
      </c>
      <c r="D55" s="425" t="s">
        <v>1241</v>
      </c>
      <c r="E55" s="926">
        <f t="shared" si="18"/>
        <v>5</v>
      </c>
      <c r="F55" s="944">
        <f t="shared" si="19"/>
        <v>0</v>
      </c>
      <c r="G55" s="438"/>
      <c r="H55" s="838"/>
      <c r="I55" s="838"/>
      <c r="J55" s="838"/>
      <c r="K55" s="838"/>
      <c r="L55" s="501"/>
      <c r="M55" s="501"/>
      <c r="N55" s="501"/>
      <c r="O55" s="439"/>
      <c r="P55" s="945">
        <f t="shared" si="20"/>
        <v>5</v>
      </c>
      <c r="Q55" s="429"/>
      <c r="R55" s="429" t="s">
        <v>562</v>
      </c>
      <c r="S55" s="838" t="s">
        <v>562</v>
      </c>
      <c r="T55" s="838" t="s">
        <v>562</v>
      </c>
      <c r="U55" s="838" t="s">
        <v>562</v>
      </c>
      <c r="V55" s="501" t="s">
        <v>562</v>
      </c>
      <c r="W55" s="439"/>
      <c r="X55" s="944">
        <f t="shared" si="21"/>
        <v>0</v>
      </c>
      <c r="Y55" s="438"/>
      <c r="Z55" s="429"/>
      <c r="AA55" s="838"/>
      <c r="AB55" s="439"/>
      <c r="AC55" s="945">
        <f t="shared" si="22"/>
        <v>0</v>
      </c>
      <c r="AD55" s="438"/>
      <c r="AE55" s="838"/>
      <c r="AF55" s="439"/>
      <c r="AG55" s="429"/>
      <c r="AH55" s="553" t="s">
        <v>1240</v>
      </c>
      <c r="AI55" s="500" t="s">
        <v>1239</v>
      </c>
      <c r="AJ55" s="539"/>
      <c r="AK55" s="568"/>
      <c r="AL55" s="567"/>
    </row>
    <row r="56" spans="1:38" ht="38.25">
      <c r="A56" s="1530"/>
      <c r="B56" s="1530"/>
      <c r="C56" s="338" t="s">
        <v>982</v>
      </c>
      <c r="D56" s="426" t="s">
        <v>1238</v>
      </c>
      <c r="E56" s="926">
        <f t="shared" si="18"/>
        <v>8</v>
      </c>
      <c r="F56" s="944">
        <f t="shared" si="19"/>
        <v>2</v>
      </c>
      <c r="G56" s="438"/>
      <c r="H56" s="838" t="s">
        <v>562</v>
      </c>
      <c r="I56" s="838"/>
      <c r="J56" s="838"/>
      <c r="K56" s="838" t="s">
        <v>562</v>
      </c>
      <c r="L56" s="501"/>
      <c r="M56" s="501"/>
      <c r="N56" s="501"/>
      <c r="O56" s="439"/>
      <c r="P56" s="945">
        <f t="shared" si="20"/>
        <v>5</v>
      </c>
      <c r="Q56" s="429"/>
      <c r="R56" s="429" t="s">
        <v>562</v>
      </c>
      <c r="S56" s="838" t="s">
        <v>562</v>
      </c>
      <c r="T56" s="838" t="s">
        <v>562</v>
      </c>
      <c r="U56" s="838" t="s">
        <v>562</v>
      </c>
      <c r="V56" s="501" t="s">
        <v>562</v>
      </c>
      <c r="W56" s="439"/>
      <c r="X56" s="944">
        <f t="shared" si="21"/>
        <v>1</v>
      </c>
      <c r="Y56" s="438"/>
      <c r="Z56" s="429"/>
      <c r="AA56" s="838"/>
      <c r="AB56" s="439" t="s">
        <v>562</v>
      </c>
      <c r="AC56" s="945">
        <f t="shared" si="22"/>
        <v>0</v>
      </c>
      <c r="AD56" s="438"/>
      <c r="AE56" s="838"/>
      <c r="AF56" s="439"/>
      <c r="AG56" s="429"/>
      <c r="AH56" s="552"/>
      <c r="AI56" s="546" t="s">
        <v>1237</v>
      </c>
      <c r="AJ56" s="539"/>
      <c r="AK56" s="568"/>
      <c r="AL56" s="567"/>
    </row>
    <row r="57" spans="1:38" s="953" customFormat="1" ht="16.5" customHeight="1">
      <c r="A57" s="946" t="s">
        <v>1589</v>
      </c>
      <c r="B57" s="946"/>
      <c r="C57" s="338"/>
      <c r="D57" s="425"/>
      <c r="E57" s="933"/>
      <c r="F57" s="947"/>
      <c r="G57" s="948">
        <f>COUNTIF(G43:G56, "M")</f>
        <v>0</v>
      </c>
      <c r="H57" s="948">
        <f t="shared" ref="H57:O57" si="23">COUNTIF(H43:H56, "M")</f>
        <v>0</v>
      </c>
      <c r="I57" s="948">
        <f t="shared" si="23"/>
        <v>0</v>
      </c>
      <c r="J57" s="948">
        <f t="shared" si="23"/>
        <v>0</v>
      </c>
      <c r="K57" s="948">
        <f t="shared" si="23"/>
        <v>0</v>
      </c>
      <c r="L57" s="948">
        <f t="shared" si="23"/>
        <v>0</v>
      </c>
      <c r="M57" s="948">
        <f t="shared" si="23"/>
        <v>0</v>
      </c>
      <c r="N57" s="948">
        <f t="shared" si="23"/>
        <v>0</v>
      </c>
      <c r="O57" s="948">
        <f t="shared" si="23"/>
        <v>0</v>
      </c>
      <c r="P57" s="948"/>
      <c r="Q57" s="948">
        <f t="shared" ref="Q57:W57" si="24">COUNTIF(Q43:Q56, "M")</f>
        <v>0</v>
      </c>
      <c r="R57" s="949">
        <f t="shared" si="24"/>
        <v>0</v>
      </c>
      <c r="S57" s="948">
        <f t="shared" si="24"/>
        <v>0</v>
      </c>
      <c r="T57" s="948">
        <f t="shared" si="24"/>
        <v>0</v>
      </c>
      <c r="U57" s="948">
        <f t="shared" si="24"/>
        <v>0</v>
      </c>
      <c r="V57" s="950">
        <f t="shared" si="24"/>
        <v>0</v>
      </c>
      <c r="W57" s="945">
        <f t="shared" si="24"/>
        <v>0</v>
      </c>
      <c r="X57" s="949"/>
      <c r="Y57" s="948">
        <f t="shared" ref="Y57:AB57" si="25">COUNTIF(Y43:Y56, "M")</f>
        <v>0</v>
      </c>
      <c r="Z57" s="948">
        <f t="shared" si="25"/>
        <v>0</v>
      </c>
      <c r="AA57" s="948">
        <f t="shared" si="25"/>
        <v>0</v>
      </c>
      <c r="AB57" s="948">
        <f t="shared" si="25"/>
        <v>0</v>
      </c>
      <c r="AC57" s="948"/>
      <c r="AD57" s="948">
        <f t="shared" ref="AD57:AF57" si="26">COUNTIF(AD43:AD56, "M")</f>
        <v>0</v>
      </c>
      <c r="AE57" s="948">
        <f t="shared" si="26"/>
        <v>0</v>
      </c>
      <c r="AF57" s="948">
        <f t="shared" si="26"/>
        <v>0</v>
      </c>
      <c r="AG57" s="951"/>
      <c r="AH57" s="560"/>
      <c r="AI57" s="546"/>
      <c r="AJ57" s="952"/>
      <c r="AK57" s="568"/>
      <c r="AL57" s="568"/>
    </row>
    <row r="58" spans="1:38" s="953" customFormat="1" ht="12.75">
      <c r="A58" s="946" t="s">
        <v>1590</v>
      </c>
      <c r="B58" s="946"/>
      <c r="C58" s="954"/>
      <c r="D58" s="425"/>
      <c r="E58" s="933"/>
      <c r="F58" s="947"/>
      <c r="G58" s="948">
        <f>COUNTIF(G43:G57, "H")</f>
        <v>0</v>
      </c>
      <c r="H58" s="948">
        <f t="shared" ref="H58:AF58" si="27">COUNTIF(H43:H57, "H")</f>
        <v>5</v>
      </c>
      <c r="I58" s="948">
        <f t="shared" si="27"/>
        <v>0</v>
      </c>
      <c r="J58" s="948">
        <f t="shared" si="27"/>
        <v>2</v>
      </c>
      <c r="K58" s="948">
        <f t="shared" si="27"/>
        <v>4</v>
      </c>
      <c r="L58" s="948">
        <f t="shared" si="27"/>
        <v>0</v>
      </c>
      <c r="M58" s="948">
        <f t="shared" si="27"/>
        <v>0</v>
      </c>
      <c r="N58" s="948">
        <f t="shared" si="27"/>
        <v>0</v>
      </c>
      <c r="O58" s="948">
        <f t="shared" si="27"/>
        <v>1</v>
      </c>
      <c r="P58" s="948"/>
      <c r="Q58" s="948">
        <f t="shared" si="27"/>
        <v>0</v>
      </c>
      <c r="R58" s="949">
        <f t="shared" si="27"/>
        <v>4</v>
      </c>
      <c r="S58" s="948">
        <f t="shared" si="27"/>
        <v>3</v>
      </c>
      <c r="T58" s="948">
        <f t="shared" si="27"/>
        <v>3</v>
      </c>
      <c r="U58" s="948">
        <f t="shared" si="27"/>
        <v>3</v>
      </c>
      <c r="V58" s="950">
        <f t="shared" si="27"/>
        <v>3</v>
      </c>
      <c r="W58" s="945">
        <f t="shared" si="27"/>
        <v>0</v>
      </c>
      <c r="X58" s="949"/>
      <c r="Y58" s="948">
        <f t="shared" si="27"/>
        <v>0</v>
      </c>
      <c r="Z58" s="948">
        <f t="shared" si="27"/>
        <v>0</v>
      </c>
      <c r="AA58" s="948">
        <f t="shared" si="27"/>
        <v>0</v>
      </c>
      <c r="AB58" s="948">
        <f t="shared" si="27"/>
        <v>2</v>
      </c>
      <c r="AC58" s="948"/>
      <c r="AD58" s="948">
        <f t="shared" si="27"/>
        <v>0</v>
      </c>
      <c r="AE58" s="948">
        <f t="shared" si="27"/>
        <v>0</v>
      </c>
      <c r="AF58" s="948">
        <f t="shared" si="27"/>
        <v>0</v>
      </c>
      <c r="AG58" s="951"/>
      <c r="AH58" s="560"/>
      <c r="AI58" s="546"/>
      <c r="AJ58" s="952"/>
      <c r="AK58" s="568"/>
      <c r="AL58" s="568"/>
    </row>
    <row r="59" spans="1:38" ht="15">
      <c r="A59" s="1536" t="s">
        <v>562</v>
      </c>
      <c r="B59" s="1536" t="s">
        <v>577</v>
      </c>
      <c r="C59" s="1537" t="s">
        <v>983</v>
      </c>
      <c r="D59" s="423" t="s">
        <v>859</v>
      </c>
      <c r="E59" s="926">
        <f t="shared" ref="E59:E80" si="28">SUM(F59+P59+X59)</f>
        <v>6</v>
      </c>
      <c r="F59" s="955">
        <f t="shared" si="19"/>
        <v>3</v>
      </c>
      <c r="G59" s="841"/>
      <c r="H59" s="845" t="s">
        <v>562</v>
      </c>
      <c r="I59" s="832"/>
      <c r="J59" s="832" t="s">
        <v>562</v>
      </c>
      <c r="K59" s="845" t="s">
        <v>562</v>
      </c>
      <c r="L59" s="956"/>
      <c r="M59" s="956"/>
      <c r="N59" s="956"/>
      <c r="O59" s="440"/>
      <c r="P59" s="957">
        <f t="shared" ref="P59:P80" si="29">COUNTIF(Q59:W59,"H")</f>
        <v>2</v>
      </c>
      <c r="Q59" s="430"/>
      <c r="R59" s="845" t="s">
        <v>562</v>
      </c>
      <c r="S59" s="845" t="s">
        <v>562</v>
      </c>
      <c r="T59" s="832"/>
      <c r="U59" s="832"/>
      <c r="V59" s="508"/>
      <c r="W59" s="440"/>
      <c r="X59" s="955">
        <f t="shared" ref="X59:X80" si="30">COUNTIF(Y59:AB59,"H")</f>
        <v>1</v>
      </c>
      <c r="Y59" s="841"/>
      <c r="Z59" s="430"/>
      <c r="AA59" s="832"/>
      <c r="AB59" s="440" t="s">
        <v>562</v>
      </c>
      <c r="AC59" s="957">
        <f t="shared" ref="AC59:AC80" si="31">COUNTIF(AD59:AF59,"H")</f>
        <v>0</v>
      </c>
      <c r="AD59" s="841"/>
      <c r="AE59" s="832"/>
      <c r="AF59" s="440"/>
      <c r="AG59" s="430"/>
      <c r="AH59" s="1523" t="s">
        <v>1236</v>
      </c>
      <c r="AI59" s="1523" t="s">
        <v>1610</v>
      </c>
      <c r="AJ59" s="490"/>
      <c r="AK59" s="569"/>
      <c r="AL59" s="567"/>
    </row>
    <row r="60" spans="1:38" ht="15">
      <c r="A60" s="1536"/>
      <c r="B60" s="1536"/>
      <c r="C60" s="1538"/>
      <c r="D60" s="423" t="s">
        <v>860</v>
      </c>
      <c r="E60" s="926">
        <f t="shared" si="28"/>
        <v>5</v>
      </c>
      <c r="F60" s="955">
        <f t="shared" si="19"/>
        <v>2</v>
      </c>
      <c r="G60" s="841"/>
      <c r="H60" s="845" t="s">
        <v>562</v>
      </c>
      <c r="I60" s="832"/>
      <c r="J60" s="832"/>
      <c r="K60" s="845" t="s">
        <v>562</v>
      </c>
      <c r="L60" s="956"/>
      <c r="M60" s="956"/>
      <c r="N60" s="956"/>
      <c r="O60" s="440"/>
      <c r="P60" s="957">
        <f t="shared" si="29"/>
        <v>2</v>
      </c>
      <c r="Q60" s="430"/>
      <c r="R60" s="845" t="s">
        <v>562</v>
      </c>
      <c r="S60" s="845" t="s">
        <v>562</v>
      </c>
      <c r="T60" s="832"/>
      <c r="U60" s="832"/>
      <c r="V60" s="508"/>
      <c r="W60" s="440"/>
      <c r="X60" s="955">
        <f t="shared" si="30"/>
        <v>1</v>
      </c>
      <c r="Y60" s="841"/>
      <c r="Z60" s="430"/>
      <c r="AA60" s="832"/>
      <c r="AB60" s="440" t="s">
        <v>562</v>
      </c>
      <c r="AC60" s="957">
        <f t="shared" si="31"/>
        <v>0</v>
      </c>
      <c r="AD60" s="841"/>
      <c r="AE60" s="832"/>
      <c r="AF60" s="440"/>
      <c r="AG60" s="430"/>
      <c r="AH60" s="1545"/>
      <c r="AI60" s="1545"/>
      <c r="AJ60" s="490"/>
      <c r="AK60" s="569"/>
      <c r="AL60" s="567"/>
    </row>
    <row r="61" spans="1:38" ht="15">
      <c r="A61" s="1536"/>
      <c r="B61" s="1536"/>
      <c r="C61" s="1538"/>
      <c r="D61" s="423" t="s">
        <v>861</v>
      </c>
      <c r="E61" s="926">
        <f t="shared" si="28"/>
        <v>5</v>
      </c>
      <c r="F61" s="955">
        <f t="shared" si="19"/>
        <v>2</v>
      </c>
      <c r="G61" s="841"/>
      <c r="H61" s="845" t="s">
        <v>562</v>
      </c>
      <c r="I61" s="832"/>
      <c r="J61" s="832"/>
      <c r="K61" s="845" t="s">
        <v>562</v>
      </c>
      <c r="L61" s="956"/>
      <c r="M61" s="956"/>
      <c r="N61" s="956"/>
      <c r="O61" s="440"/>
      <c r="P61" s="957">
        <f t="shared" si="29"/>
        <v>2</v>
      </c>
      <c r="Q61" s="430"/>
      <c r="R61" s="845" t="s">
        <v>562</v>
      </c>
      <c r="S61" s="845" t="s">
        <v>562</v>
      </c>
      <c r="T61" s="832"/>
      <c r="U61" s="832"/>
      <c r="V61" s="508"/>
      <c r="W61" s="440"/>
      <c r="X61" s="955">
        <f t="shared" si="30"/>
        <v>1</v>
      </c>
      <c r="Y61" s="841"/>
      <c r="Z61" s="430"/>
      <c r="AA61" s="832"/>
      <c r="AB61" s="440" t="s">
        <v>562</v>
      </c>
      <c r="AC61" s="957">
        <f t="shared" si="31"/>
        <v>0</v>
      </c>
      <c r="AD61" s="841"/>
      <c r="AE61" s="832"/>
      <c r="AF61" s="440"/>
      <c r="AG61" s="430"/>
      <c r="AH61" s="1545"/>
      <c r="AI61" s="1545"/>
      <c r="AJ61" s="490"/>
      <c r="AK61" s="569"/>
      <c r="AL61" s="567"/>
    </row>
    <row r="62" spans="1:38" ht="15">
      <c r="A62" s="1536"/>
      <c r="B62" s="1536"/>
      <c r="C62" s="1538"/>
      <c r="D62" s="423" t="s">
        <v>862</v>
      </c>
      <c r="E62" s="926">
        <f t="shared" si="28"/>
        <v>6</v>
      </c>
      <c r="F62" s="955">
        <f t="shared" si="19"/>
        <v>3</v>
      </c>
      <c r="G62" s="841"/>
      <c r="H62" s="845" t="s">
        <v>562</v>
      </c>
      <c r="I62" s="832" t="s">
        <v>562</v>
      </c>
      <c r="J62" s="832"/>
      <c r="K62" s="845" t="s">
        <v>562</v>
      </c>
      <c r="L62" s="956"/>
      <c r="M62" s="956"/>
      <c r="N62" s="956"/>
      <c r="O62" s="440"/>
      <c r="P62" s="957">
        <f t="shared" si="29"/>
        <v>2</v>
      </c>
      <c r="Q62" s="430"/>
      <c r="R62" s="845" t="s">
        <v>562</v>
      </c>
      <c r="S62" s="845" t="s">
        <v>562</v>
      </c>
      <c r="T62" s="832"/>
      <c r="U62" s="832"/>
      <c r="V62" s="508"/>
      <c r="W62" s="440"/>
      <c r="X62" s="955">
        <f t="shared" si="30"/>
        <v>1</v>
      </c>
      <c r="Y62" s="841"/>
      <c r="Z62" s="430"/>
      <c r="AA62" s="832"/>
      <c r="AB62" s="440" t="s">
        <v>562</v>
      </c>
      <c r="AC62" s="957">
        <f t="shared" si="31"/>
        <v>0</v>
      </c>
      <c r="AD62" s="841"/>
      <c r="AE62" s="832"/>
      <c r="AF62" s="440"/>
      <c r="AG62" s="430"/>
      <c r="AH62" s="1545"/>
      <c r="AI62" s="1545"/>
      <c r="AJ62" s="490"/>
      <c r="AK62" s="569"/>
      <c r="AL62" s="567"/>
    </row>
    <row r="63" spans="1:38" ht="15">
      <c r="A63" s="1536"/>
      <c r="B63" s="1536"/>
      <c r="C63" s="1538"/>
      <c r="D63" s="423" t="s">
        <v>863</v>
      </c>
      <c r="E63" s="926">
        <f t="shared" si="28"/>
        <v>5</v>
      </c>
      <c r="F63" s="955">
        <f t="shared" si="19"/>
        <v>2</v>
      </c>
      <c r="G63" s="841"/>
      <c r="H63" s="845" t="s">
        <v>562</v>
      </c>
      <c r="I63" s="832"/>
      <c r="J63" s="832"/>
      <c r="K63" s="832"/>
      <c r="L63" s="508"/>
      <c r="M63" s="508"/>
      <c r="N63" s="508"/>
      <c r="O63" s="440" t="s">
        <v>562</v>
      </c>
      <c r="P63" s="957">
        <f t="shared" si="29"/>
        <v>2</v>
      </c>
      <c r="Q63" s="430"/>
      <c r="R63" s="845" t="s">
        <v>562</v>
      </c>
      <c r="S63" s="845" t="s">
        <v>562</v>
      </c>
      <c r="T63" s="832"/>
      <c r="U63" s="832"/>
      <c r="V63" s="508"/>
      <c r="W63" s="440"/>
      <c r="X63" s="955">
        <f t="shared" si="30"/>
        <v>1</v>
      </c>
      <c r="Y63" s="841"/>
      <c r="Z63" s="430"/>
      <c r="AA63" s="832"/>
      <c r="AB63" s="440" t="s">
        <v>562</v>
      </c>
      <c r="AC63" s="957">
        <f t="shared" si="31"/>
        <v>0</v>
      </c>
      <c r="AD63" s="841"/>
      <c r="AE63" s="832"/>
      <c r="AF63" s="440"/>
      <c r="AG63" s="430"/>
      <c r="AH63" s="1545"/>
      <c r="AI63" s="1545"/>
      <c r="AJ63" s="490"/>
      <c r="AK63" s="569"/>
      <c r="AL63" s="567"/>
    </row>
    <row r="64" spans="1:38" ht="15">
      <c r="A64" s="1536"/>
      <c r="B64" s="1536"/>
      <c r="C64" s="1539"/>
      <c r="D64" s="423" t="s">
        <v>864</v>
      </c>
      <c r="E64" s="914">
        <f t="shared" si="28"/>
        <v>4</v>
      </c>
      <c r="F64" s="955">
        <f t="shared" si="19"/>
        <v>1</v>
      </c>
      <c r="G64" s="841"/>
      <c r="H64" s="845" t="s">
        <v>562</v>
      </c>
      <c r="I64" s="832"/>
      <c r="J64" s="832"/>
      <c r="K64" s="832"/>
      <c r="L64" s="508"/>
      <c r="M64" s="508"/>
      <c r="N64" s="508"/>
      <c r="O64" s="440"/>
      <c r="P64" s="957">
        <f t="shared" si="29"/>
        <v>2</v>
      </c>
      <c r="Q64" s="430"/>
      <c r="R64" s="845" t="s">
        <v>562</v>
      </c>
      <c r="S64" s="845" t="s">
        <v>562</v>
      </c>
      <c r="T64" s="832"/>
      <c r="U64" s="832"/>
      <c r="V64" s="508"/>
      <c r="W64" s="440"/>
      <c r="X64" s="955">
        <f t="shared" si="30"/>
        <v>1</v>
      </c>
      <c r="Y64" s="841"/>
      <c r="Z64" s="430"/>
      <c r="AA64" s="832"/>
      <c r="AB64" s="440" t="s">
        <v>562</v>
      </c>
      <c r="AC64" s="957">
        <f t="shared" si="31"/>
        <v>0</v>
      </c>
      <c r="AD64" s="841"/>
      <c r="AE64" s="832"/>
      <c r="AF64" s="440"/>
      <c r="AG64" s="430"/>
      <c r="AH64" s="1524"/>
      <c r="AI64" s="1524"/>
      <c r="AJ64" s="490"/>
      <c r="AK64" s="569"/>
      <c r="AL64" s="567"/>
    </row>
    <row r="65" spans="1:38" ht="15">
      <c r="A65" s="1536"/>
      <c r="B65" s="1536"/>
      <c r="C65" s="1522" t="s">
        <v>1611</v>
      </c>
      <c r="D65" s="423" t="s">
        <v>985</v>
      </c>
      <c r="E65" s="926">
        <f t="shared" si="28"/>
        <v>8</v>
      </c>
      <c r="F65" s="955">
        <f t="shared" si="19"/>
        <v>2</v>
      </c>
      <c r="G65" s="841"/>
      <c r="H65" s="832" t="s">
        <v>562</v>
      </c>
      <c r="I65" s="832"/>
      <c r="J65" s="832"/>
      <c r="K65" s="832" t="s">
        <v>562</v>
      </c>
      <c r="L65" s="508"/>
      <c r="M65" s="508"/>
      <c r="N65" s="508"/>
      <c r="O65" s="440"/>
      <c r="P65" s="957">
        <f t="shared" si="29"/>
        <v>5</v>
      </c>
      <c r="Q65" s="430"/>
      <c r="R65" s="430" t="s">
        <v>562</v>
      </c>
      <c r="S65" s="832" t="s">
        <v>562</v>
      </c>
      <c r="T65" s="832" t="s">
        <v>562</v>
      </c>
      <c r="U65" s="832" t="s">
        <v>562</v>
      </c>
      <c r="V65" s="508" t="s">
        <v>562</v>
      </c>
      <c r="W65" s="440"/>
      <c r="X65" s="955">
        <f t="shared" si="30"/>
        <v>1</v>
      </c>
      <c r="Y65" s="841"/>
      <c r="Z65" s="430"/>
      <c r="AA65" s="832"/>
      <c r="AB65" s="440" t="s">
        <v>562</v>
      </c>
      <c r="AC65" s="957">
        <f t="shared" si="31"/>
        <v>0</v>
      </c>
      <c r="AD65" s="841"/>
      <c r="AE65" s="832"/>
      <c r="AF65" s="440"/>
      <c r="AG65" s="430"/>
      <c r="AH65" s="1523" t="s">
        <v>1234</v>
      </c>
      <c r="AI65" s="1523" t="s">
        <v>1233</v>
      </c>
      <c r="AJ65" s="490"/>
      <c r="AK65" s="569"/>
      <c r="AL65" s="567"/>
    </row>
    <row r="66" spans="1:38" ht="15">
      <c r="A66" s="1536"/>
      <c r="B66" s="1536"/>
      <c r="C66" s="1522"/>
      <c r="D66" s="423" t="s">
        <v>861</v>
      </c>
      <c r="E66" s="926">
        <f t="shared" si="28"/>
        <v>7</v>
      </c>
      <c r="F66" s="955">
        <f t="shared" si="19"/>
        <v>1</v>
      </c>
      <c r="G66" s="841"/>
      <c r="H66" s="832"/>
      <c r="I66" s="832"/>
      <c r="J66" s="832"/>
      <c r="K66" s="832" t="s">
        <v>562</v>
      </c>
      <c r="L66" s="508"/>
      <c r="M66" s="508"/>
      <c r="N66" s="508"/>
      <c r="O66" s="440"/>
      <c r="P66" s="957">
        <f t="shared" si="29"/>
        <v>5</v>
      </c>
      <c r="Q66" s="430"/>
      <c r="R66" s="430" t="s">
        <v>562</v>
      </c>
      <c r="S66" s="832" t="s">
        <v>562</v>
      </c>
      <c r="T66" s="832" t="s">
        <v>562</v>
      </c>
      <c r="U66" s="832" t="s">
        <v>562</v>
      </c>
      <c r="V66" s="508" t="s">
        <v>562</v>
      </c>
      <c r="W66" s="440"/>
      <c r="X66" s="955">
        <f t="shared" si="30"/>
        <v>1</v>
      </c>
      <c r="Y66" s="841"/>
      <c r="Z66" s="430"/>
      <c r="AA66" s="832"/>
      <c r="AB66" s="440" t="s">
        <v>562</v>
      </c>
      <c r="AC66" s="957">
        <f t="shared" si="31"/>
        <v>0</v>
      </c>
      <c r="AD66" s="841"/>
      <c r="AE66" s="832"/>
      <c r="AF66" s="440"/>
      <c r="AG66" s="430"/>
      <c r="AH66" s="1545"/>
      <c r="AI66" s="1545"/>
      <c r="AJ66" s="490"/>
      <c r="AK66" s="569"/>
      <c r="AL66" s="567"/>
    </row>
    <row r="67" spans="1:38" ht="15">
      <c r="A67" s="1536"/>
      <c r="B67" s="1536"/>
      <c r="C67" s="1522"/>
      <c r="D67" s="423" t="s">
        <v>860</v>
      </c>
      <c r="E67" s="926">
        <f t="shared" si="28"/>
        <v>7</v>
      </c>
      <c r="F67" s="955">
        <f t="shared" si="19"/>
        <v>1</v>
      </c>
      <c r="G67" s="841"/>
      <c r="H67" s="832"/>
      <c r="I67" s="832"/>
      <c r="J67" s="832"/>
      <c r="K67" s="832" t="s">
        <v>562</v>
      </c>
      <c r="L67" s="508"/>
      <c r="M67" s="508"/>
      <c r="N67" s="508"/>
      <c r="O67" s="440"/>
      <c r="P67" s="957">
        <f t="shared" si="29"/>
        <v>5</v>
      </c>
      <c r="Q67" s="430"/>
      <c r="R67" s="430" t="s">
        <v>562</v>
      </c>
      <c r="S67" s="832" t="s">
        <v>562</v>
      </c>
      <c r="T67" s="832" t="s">
        <v>562</v>
      </c>
      <c r="U67" s="832" t="s">
        <v>562</v>
      </c>
      <c r="V67" s="508" t="s">
        <v>562</v>
      </c>
      <c r="W67" s="440"/>
      <c r="X67" s="955">
        <f t="shared" si="30"/>
        <v>1</v>
      </c>
      <c r="Y67" s="841"/>
      <c r="Z67" s="430"/>
      <c r="AA67" s="832"/>
      <c r="AB67" s="440" t="s">
        <v>562</v>
      </c>
      <c r="AC67" s="957">
        <f t="shared" si="31"/>
        <v>0</v>
      </c>
      <c r="AD67" s="841"/>
      <c r="AE67" s="832"/>
      <c r="AF67" s="440"/>
      <c r="AG67" s="430"/>
      <c r="AH67" s="1545"/>
      <c r="AI67" s="1545"/>
      <c r="AJ67" s="490"/>
      <c r="AK67" s="569"/>
      <c r="AL67" s="567"/>
    </row>
    <row r="68" spans="1:38" ht="15">
      <c r="A68" s="1536"/>
      <c r="B68" s="1536"/>
      <c r="C68" s="1522"/>
      <c r="D68" s="423" t="s">
        <v>859</v>
      </c>
      <c r="E68" s="914">
        <f t="shared" si="28"/>
        <v>3</v>
      </c>
      <c r="F68" s="955">
        <f t="shared" si="19"/>
        <v>2</v>
      </c>
      <c r="G68" s="841"/>
      <c r="H68" s="832"/>
      <c r="I68" s="832"/>
      <c r="J68" s="832" t="s">
        <v>562</v>
      </c>
      <c r="K68" s="832" t="s">
        <v>562</v>
      </c>
      <c r="L68" s="508"/>
      <c r="M68" s="508"/>
      <c r="N68" s="508"/>
      <c r="O68" s="440"/>
      <c r="P68" s="957">
        <f t="shared" si="29"/>
        <v>0</v>
      </c>
      <c r="Q68" s="430"/>
      <c r="R68" s="430"/>
      <c r="S68" s="832"/>
      <c r="T68" s="832"/>
      <c r="U68" s="832"/>
      <c r="V68" s="508"/>
      <c r="W68" s="440"/>
      <c r="X68" s="955">
        <f t="shared" si="30"/>
        <v>1</v>
      </c>
      <c r="Y68" s="841"/>
      <c r="Z68" s="430"/>
      <c r="AA68" s="832"/>
      <c r="AB68" s="440" t="s">
        <v>562</v>
      </c>
      <c r="AC68" s="957">
        <f t="shared" si="31"/>
        <v>0</v>
      </c>
      <c r="AD68" s="841"/>
      <c r="AE68" s="832"/>
      <c r="AF68" s="440"/>
      <c r="AG68" s="430"/>
      <c r="AH68" s="1545"/>
      <c r="AI68" s="1545"/>
      <c r="AJ68" s="490"/>
      <c r="AK68" s="569"/>
      <c r="AL68" s="567"/>
    </row>
    <row r="69" spans="1:38" ht="25.5">
      <c r="A69" s="1536"/>
      <c r="B69" s="1536"/>
      <c r="C69" s="1522"/>
      <c r="D69" s="423" t="s">
        <v>984</v>
      </c>
      <c r="E69" s="926">
        <f t="shared" si="28"/>
        <v>7</v>
      </c>
      <c r="F69" s="955">
        <f t="shared" si="19"/>
        <v>1</v>
      </c>
      <c r="G69" s="841"/>
      <c r="H69" s="832"/>
      <c r="I69" s="832"/>
      <c r="J69" s="832"/>
      <c r="K69" s="832" t="s">
        <v>562</v>
      </c>
      <c r="L69" s="508"/>
      <c r="M69" s="508"/>
      <c r="N69" s="508"/>
      <c r="O69" s="440"/>
      <c r="P69" s="957">
        <f t="shared" si="29"/>
        <v>5</v>
      </c>
      <c r="Q69" s="430"/>
      <c r="R69" s="430" t="s">
        <v>562</v>
      </c>
      <c r="S69" s="832" t="s">
        <v>562</v>
      </c>
      <c r="T69" s="832" t="s">
        <v>562</v>
      </c>
      <c r="U69" s="832" t="s">
        <v>562</v>
      </c>
      <c r="V69" s="508" t="s">
        <v>562</v>
      </c>
      <c r="W69" s="440"/>
      <c r="X69" s="955">
        <f t="shared" si="30"/>
        <v>1</v>
      </c>
      <c r="Y69" s="841"/>
      <c r="Z69" s="430"/>
      <c r="AA69" s="832"/>
      <c r="AB69" s="440" t="s">
        <v>562</v>
      </c>
      <c r="AC69" s="957">
        <f t="shared" si="31"/>
        <v>0</v>
      </c>
      <c r="AD69" s="841"/>
      <c r="AE69" s="832"/>
      <c r="AF69" s="440"/>
      <c r="AG69" s="430"/>
      <c r="AH69" s="1545"/>
      <c r="AI69" s="1545"/>
      <c r="AJ69" s="490"/>
      <c r="AK69" s="569"/>
      <c r="AL69" s="567"/>
    </row>
    <row r="70" spans="1:38" ht="15">
      <c r="A70" s="1536"/>
      <c r="B70" s="1536"/>
      <c r="C70" s="1522"/>
      <c r="D70" s="423" t="s">
        <v>863</v>
      </c>
      <c r="E70" s="914">
        <f t="shared" si="28"/>
        <v>2</v>
      </c>
      <c r="F70" s="955">
        <f t="shared" si="19"/>
        <v>1</v>
      </c>
      <c r="G70" s="841"/>
      <c r="H70" s="832"/>
      <c r="I70" s="832"/>
      <c r="J70" s="832"/>
      <c r="K70" s="832"/>
      <c r="L70" s="508"/>
      <c r="M70" s="508"/>
      <c r="N70" s="508"/>
      <c r="O70" s="440" t="s">
        <v>562</v>
      </c>
      <c r="P70" s="957">
        <f t="shared" si="29"/>
        <v>0</v>
      </c>
      <c r="Q70" s="430"/>
      <c r="R70" s="430"/>
      <c r="S70" s="832"/>
      <c r="T70" s="832"/>
      <c r="U70" s="832"/>
      <c r="V70" s="508"/>
      <c r="W70" s="440"/>
      <c r="X70" s="955">
        <f t="shared" si="30"/>
        <v>1</v>
      </c>
      <c r="Y70" s="841"/>
      <c r="Z70" s="430"/>
      <c r="AA70" s="832"/>
      <c r="AB70" s="440" t="s">
        <v>562</v>
      </c>
      <c r="AC70" s="957">
        <f t="shared" si="31"/>
        <v>0</v>
      </c>
      <c r="AD70" s="841"/>
      <c r="AE70" s="832"/>
      <c r="AF70" s="440"/>
      <c r="AG70" s="430"/>
      <c r="AH70" s="1545"/>
      <c r="AI70" s="1545"/>
      <c r="AJ70" s="490"/>
      <c r="AK70" s="569"/>
      <c r="AL70" s="567"/>
    </row>
    <row r="71" spans="1:38" ht="15">
      <c r="A71" s="1536"/>
      <c r="B71" s="1536"/>
      <c r="C71" s="1522"/>
      <c r="D71" s="423" t="s">
        <v>862</v>
      </c>
      <c r="E71" s="926">
        <f t="shared" si="28"/>
        <v>7</v>
      </c>
      <c r="F71" s="955">
        <f t="shared" si="19"/>
        <v>1</v>
      </c>
      <c r="G71" s="841"/>
      <c r="H71" s="832"/>
      <c r="I71" s="832"/>
      <c r="J71" s="832"/>
      <c r="K71" s="832" t="s">
        <v>562</v>
      </c>
      <c r="L71" s="508"/>
      <c r="M71" s="508"/>
      <c r="N71" s="508"/>
      <c r="O71" s="440"/>
      <c r="P71" s="957">
        <f t="shared" si="29"/>
        <v>5</v>
      </c>
      <c r="Q71" s="430"/>
      <c r="R71" s="430" t="s">
        <v>562</v>
      </c>
      <c r="S71" s="832" t="s">
        <v>562</v>
      </c>
      <c r="T71" s="832" t="s">
        <v>562</v>
      </c>
      <c r="U71" s="832" t="s">
        <v>562</v>
      </c>
      <c r="V71" s="508" t="s">
        <v>562</v>
      </c>
      <c r="W71" s="440"/>
      <c r="X71" s="955">
        <f t="shared" si="30"/>
        <v>1</v>
      </c>
      <c r="Y71" s="841"/>
      <c r="Z71" s="430"/>
      <c r="AA71" s="832"/>
      <c r="AB71" s="440" t="s">
        <v>562</v>
      </c>
      <c r="AC71" s="957">
        <f t="shared" si="31"/>
        <v>0</v>
      </c>
      <c r="AD71" s="841"/>
      <c r="AE71" s="832"/>
      <c r="AF71" s="440"/>
      <c r="AG71" s="430"/>
      <c r="AH71" s="1524"/>
      <c r="AI71" s="1524"/>
      <c r="AJ71" s="490"/>
      <c r="AK71" s="569"/>
      <c r="AL71" s="567"/>
    </row>
    <row r="72" spans="1:38" ht="25.5">
      <c r="A72" s="1536"/>
      <c r="B72" s="1536"/>
      <c r="C72" s="1522" t="s">
        <v>1027</v>
      </c>
      <c r="D72" s="423" t="s">
        <v>1232</v>
      </c>
      <c r="E72" s="926">
        <f t="shared" si="28"/>
        <v>6</v>
      </c>
      <c r="F72" s="955">
        <f t="shared" si="19"/>
        <v>3</v>
      </c>
      <c r="G72" s="841"/>
      <c r="H72" s="832" t="s">
        <v>562</v>
      </c>
      <c r="I72" s="832"/>
      <c r="J72" s="832" t="s">
        <v>562</v>
      </c>
      <c r="K72" s="832" t="s">
        <v>562</v>
      </c>
      <c r="L72" s="508"/>
      <c r="M72" s="508"/>
      <c r="N72" s="508"/>
      <c r="O72" s="440"/>
      <c r="P72" s="957">
        <f t="shared" si="29"/>
        <v>2</v>
      </c>
      <c r="Q72" s="430"/>
      <c r="R72" s="430" t="s">
        <v>562</v>
      </c>
      <c r="S72" s="832" t="s">
        <v>562</v>
      </c>
      <c r="T72" s="832"/>
      <c r="U72" s="832"/>
      <c r="V72" s="508"/>
      <c r="W72" s="440"/>
      <c r="X72" s="955">
        <f t="shared" si="30"/>
        <v>1</v>
      </c>
      <c r="Y72" s="841"/>
      <c r="Z72" s="430"/>
      <c r="AA72" s="832"/>
      <c r="AB72" s="440" t="s">
        <v>562</v>
      </c>
      <c r="AC72" s="957">
        <f t="shared" si="31"/>
        <v>0</v>
      </c>
      <c r="AD72" s="841"/>
      <c r="AE72" s="832"/>
      <c r="AF72" s="440"/>
      <c r="AG72" s="430"/>
      <c r="AH72" s="1523" t="s">
        <v>513</v>
      </c>
      <c r="AI72" s="1548" t="s">
        <v>1407</v>
      </c>
      <c r="AJ72" s="490"/>
      <c r="AK72" s="569"/>
      <c r="AL72" s="567"/>
    </row>
    <row r="73" spans="1:38" ht="25.5">
      <c r="A73" s="1536"/>
      <c r="B73" s="1536"/>
      <c r="C73" s="1522"/>
      <c r="D73" s="423" t="s">
        <v>1231</v>
      </c>
      <c r="E73" s="926">
        <f t="shared" si="28"/>
        <v>6</v>
      </c>
      <c r="F73" s="955">
        <f t="shared" si="19"/>
        <v>3</v>
      </c>
      <c r="G73" s="841"/>
      <c r="H73" s="832" t="s">
        <v>562</v>
      </c>
      <c r="I73" s="832"/>
      <c r="J73" s="832" t="s">
        <v>562</v>
      </c>
      <c r="K73" s="832" t="s">
        <v>562</v>
      </c>
      <c r="L73" s="508"/>
      <c r="M73" s="508"/>
      <c r="N73" s="508"/>
      <c r="O73" s="440"/>
      <c r="P73" s="957">
        <f t="shared" si="29"/>
        <v>2</v>
      </c>
      <c r="Q73" s="430"/>
      <c r="R73" s="430" t="s">
        <v>562</v>
      </c>
      <c r="S73" s="832" t="s">
        <v>562</v>
      </c>
      <c r="T73" s="832"/>
      <c r="U73" s="832"/>
      <c r="V73" s="508"/>
      <c r="W73" s="440"/>
      <c r="X73" s="955">
        <f t="shared" si="30"/>
        <v>1</v>
      </c>
      <c r="Y73" s="841"/>
      <c r="Z73" s="430"/>
      <c r="AA73" s="832"/>
      <c r="AB73" s="440" t="s">
        <v>562</v>
      </c>
      <c r="AC73" s="957">
        <f t="shared" si="31"/>
        <v>0</v>
      </c>
      <c r="AD73" s="841"/>
      <c r="AE73" s="832"/>
      <c r="AF73" s="440"/>
      <c r="AG73" s="430"/>
      <c r="AH73" s="1524"/>
      <c r="AI73" s="1548"/>
      <c r="AJ73" s="490"/>
      <c r="AK73" s="569"/>
      <c r="AL73" s="567"/>
    </row>
    <row r="74" spans="1:38" ht="67.5">
      <c r="A74" s="1536"/>
      <c r="B74" s="1536"/>
      <c r="C74" s="830" t="s">
        <v>1612</v>
      </c>
      <c r="D74" s="423" t="s">
        <v>1230</v>
      </c>
      <c r="E74" s="926">
        <f t="shared" si="28"/>
        <v>9</v>
      </c>
      <c r="F74" s="955">
        <f t="shared" si="19"/>
        <v>3</v>
      </c>
      <c r="G74" s="841"/>
      <c r="H74" s="832" t="s">
        <v>562</v>
      </c>
      <c r="I74" s="832" t="s">
        <v>562</v>
      </c>
      <c r="J74" s="832"/>
      <c r="K74" s="832" t="s">
        <v>562</v>
      </c>
      <c r="L74" s="508"/>
      <c r="M74" s="508"/>
      <c r="N74" s="508"/>
      <c r="O74" s="440"/>
      <c r="P74" s="957">
        <f t="shared" si="29"/>
        <v>5</v>
      </c>
      <c r="Q74" s="430"/>
      <c r="R74" s="430" t="s">
        <v>562</v>
      </c>
      <c r="S74" s="832" t="s">
        <v>562</v>
      </c>
      <c r="T74" s="832" t="s">
        <v>562</v>
      </c>
      <c r="U74" s="832" t="s">
        <v>562</v>
      </c>
      <c r="V74" s="508" t="s">
        <v>562</v>
      </c>
      <c r="W74" s="440"/>
      <c r="X74" s="955">
        <f t="shared" si="30"/>
        <v>1</v>
      </c>
      <c r="Y74" s="841"/>
      <c r="Z74" s="430"/>
      <c r="AA74" s="832"/>
      <c r="AB74" s="440" t="s">
        <v>562</v>
      </c>
      <c r="AC74" s="957">
        <f t="shared" si="31"/>
        <v>0</v>
      </c>
      <c r="AD74" s="841"/>
      <c r="AE74" s="832"/>
      <c r="AF74" s="440"/>
      <c r="AG74" s="430"/>
      <c r="AH74" s="833" t="s">
        <v>1229</v>
      </c>
      <c r="AI74" s="833" t="s">
        <v>1228</v>
      </c>
      <c r="AJ74" s="490"/>
      <c r="AK74" s="569"/>
      <c r="AL74" s="567"/>
    </row>
    <row r="75" spans="1:38" ht="76.5">
      <c r="A75" s="1536"/>
      <c r="B75" s="1536"/>
      <c r="C75" s="830" t="s">
        <v>1613</v>
      </c>
      <c r="D75" s="423" t="s">
        <v>1408</v>
      </c>
      <c r="E75" s="914">
        <f t="shared" si="28"/>
        <v>0</v>
      </c>
      <c r="F75" s="955">
        <f t="shared" si="19"/>
        <v>0</v>
      </c>
      <c r="G75" s="841"/>
      <c r="H75" s="832"/>
      <c r="I75" s="832"/>
      <c r="J75" s="832"/>
      <c r="K75" s="832"/>
      <c r="L75" s="508"/>
      <c r="M75" s="508"/>
      <c r="N75" s="508"/>
      <c r="O75" s="440"/>
      <c r="P75" s="957">
        <f t="shared" si="29"/>
        <v>0</v>
      </c>
      <c r="Q75" s="430"/>
      <c r="R75" s="430"/>
      <c r="S75" s="832"/>
      <c r="T75" s="832"/>
      <c r="U75" s="832"/>
      <c r="V75" s="508"/>
      <c r="W75" s="440"/>
      <c r="X75" s="955">
        <f t="shared" si="30"/>
        <v>0</v>
      </c>
      <c r="Y75" s="841"/>
      <c r="Z75" s="430"/>
      <c r="AA75" s="832"/>
      <c r="AB75" s="440"/>
      <c r="AC75" s="957">
        <f t="shared" si="31"/>
        <v>0</v>
      </c>
      <c r="AD75" s="841"/>
      <c r="AE75" s="832"/>
      <c r="AF75" s="440"/>
      <c r="AG75" s="430"/>
      <c r="AH75" s="833" t="s">
        <v>1226</v>
      </c>
      <c r="AI75" s="833" t="s">
        <v>1614</v>
      </c>
      <c r="AJ75" s="490"/>
      <c r="AK75" s="569"/>
      <c r="AL75" s="567"/>
    </row>
    <row r="76" spans="1:38" ht="25.5">
      <c r="A76" s="1536"/>
      <c r="B76" s="1536"/>
      <c r="C76" s="1522" t="s">
        <v>1025</v>
      </c>
      <c r="D76" s="423" t="s">
        <v>1410</v>
      </c>
      <c r="E76" s="914">
        <f t="shared" si="28"/>
        <v>3</v>
      </c>
      <c r="F76" s="955">
        <f t="shared" si="19"/>
        <v>2</v>
      </c>
      <c r="G76" s="841"/>
      <c r="H76" s="832" t="s">
        <v>562</v>
      </c>
      <c r="I76" s="832"/>
      <c r="J76" s="832" t="s">
        <v>562</v>
      </c>
      <c r="K76" s="832"/>
      <c r="L76" s="508"/>
      <c r="M76" s="508"/>
      <c r="N76" s="508"/>
      <c r="O76" s="440"/>
      <c r="P76" s="957">
        <f t="shared" si="29"/>
        <v>0</v>
      </c>
      <c r="Q76" s="430"/>
      <c r="R76" s="430"/>
      <c r="S76" s="832"/>
      <c r="T76" s="832"/>
      <c r="U76" s="832"/>
      <c r="V76" s="508"/>
      <c r="W76" s="440"/>
      <c r="X76" s="955">
        <f t="shared" si="30"/>
        <v>1</v>
      </c>
      <c r="Y76" s="841"/>
      <c r="Z76" s="430"/>
      <c r="AA76" s="832"/>
      <c r="AB76" s="440" t="s">
        <v>562</v>
      </c>
      <c r="AC76" s="957">
        <f t="shared" si="31"/>
        <v>0</v>
      </c>
      <c r="AD76" s="841"/>
      <c r="AE76" s="832"/>
      <c r="AF76" s="440"/>
      <c r="AG76" s="430"/>
      <c r="AH76" s="833" t="s">
        <v>1225</v>
      </c>
      <c r="AI76" s="1523" t="s">
        <v>1224</v>
      </c>
      <c r="AJ76" s="490"/>
      <c r="AK76" s="569"/>
      <c r="AL76" s="567"/>
    </row>
    <row r="77" spans="1:38" ht="15">
      <c r="A77" s="1536"/>
      <c r="B77" s="1536"/>
      <c r="C77" s="1522"/>
      <c r="D77" s="423" t="s">
        <v>1013</v>
      </c>
      <c r="E77" s="914">
        <f t="shared" si="28"/>
        <v>2</v>
      </c>
      <c r="F77" s="955">
        <f t="shared" si="19"/>
        <v>1</v>
      </c>
      <c r="G77" s="841"/>
      <c r="H77" s="832"/>
      <c r="I77" s="832"/>
      <c r="J77" s="832"/>
      <c r="K77" s="832"/>
      <c r="L77" s="508"/>
      <c r="M77" s="508"/>
      <c r="N77" s="508"/>
      <c r="O77" s="440" t="s">
        <v>562</v>
      </c>
      <c r="P77" s="957">
        <f t="shared" si="29"/>
        <v>0</v>
      </c>
      <c r="Q77" s="430"/>
      <c r="R77" s="430"/>
      <c r="S77" s="832"/>
      <c r="T77" s="832"/>
      <c r="U77" s="832"/>
      <c r="V77" s="508"/>
      <c r="W77" s="440"/>
      <c r="X77" s="955">
        <f t="shared" si="30"/>
        <v>1</v>
      </c>
      <c r="Y77" s="841"/>
      <c r="Z77" s="430"/>
      <c r="AA77" s="832"/>
      <c r="AB77" s="440" t="s">
        <v>562</v>
      </c>
      <c r="AC77" s="957">
        <f t="shared" si="31"/>
        <v>0</v>
      </c>
      <c r="AD77" s="841"/>
      <c r="AE77" s="832"/>
      <c r="AF77" s="440"/>
      <c r="AG77" s="430"/>
      <c r="AH77" s="833"/>
      <c r="AI77" s="1524"/>
      <c r="AJ77" s="490"/>
      <c r="AK77" s="569"/>
      <c r="AL77" s="567"/>
    </row>
    <row r="78" spans="1:38" ht="25.5">
      <c r="A78" s="1536"/>
      <c r="B78" s="1536"/>
      <c r="C78" s="830" t="s">
        <v>1223</v>
      </c>
      <c r="D78" s="423" t="s">
        <v>1222</v>
      </c>
      <c r="E78" s="926">
        <f t="shared" si="28"/>
        <v>7</v>
      </c>
      <c r="F78" s="955">
        <f t="shared" si="19"/>
        <v>2</v>
      </c>
      <c r="G78" s="841"/>
      <c r="H78" s="832"/>
      <c r="I78" s="832"/>
      <c r="J78" s="832" t="s">
        <v>562</v>
      </c>
      <c r="K78" s="832" t="s">
        <v>562</v>
      </c>
      <c r="L78" s="508"/>
      <c r="M78" s="508"/>
      <c r="N78" s="508"/>
      <c r="O78" s="440"/>
      <c r="P78" s="957">
        <f t="shared" si="29"/>
        <v>4</v>
      </c>
      <c r="Q78" s="430"/>
      <c r="R78" s="430"/>
      <c r="S78" s="832" t="s">
        <v>562</v>
      </c>
      <c r="T78" s="832" t="s">
        <v>562</v>
      </c>
      <c r="U78" s="832" t="s">
        <v>562</v>
      </c>
      <c r="V78" s="508" t="s">
        <v>562</v>
      </c>
      <c r="W78" s="440"/>
      <c r="X78" s="955">
        <f t="shared" si="30"/>
        <v>1</v>
      </c>
      <c r="Y78" s="841"/>
      <c r="Z78" s="430"/>
      <c r="AA78" s="832"/>
      <c r="AB78" s="440" t="s">
        <v>562</v>
      </c>
      <c r="AC78" s="957">
        <f t="shared" si="31"/>
        <v>0</v>
      </c>
      <c r="AD78" s="841"/>
      <c r="AE78" s="832"/>
      <c r="AF78" s="440"/>
      <c r="AG78" s="430"/>
      <c r="AH78" s="833" t="s">
        <v>1221</v>
      </c>
      <c r="AI78" s="833" t="s">
        <v>1615</v>
      </c>
      <c r="AJ78" s="490"/>
      <c r="AK78" s="569"/>
      <c r="AL78" s="567"/>
    </row>
    <row r="79" spans="1:38" ht="38.25">
      <c r="A79" s="1536"/>
      <c r="B79" s="1536"/>
      <c r="C79" s="830" t="s">
        <v>1069</v>
      </c>
      <c r="D79" s="423" t="s">
        <v>1219</v>
      </c>
      <c r="E79" s="914">
        <f t="shared" si="28"/>
        <v>1</v>
      </c>
      <c r="F79" s="955">
        <f t="shared" si="19"/>
        <v>0</v>
      </c>
      <c r="G79" s="841"/>
      <c r="H79" s="832"/>
      <c r="I79" s="832"/>
      <c r="J79" s="832"/>
      <c r="K79" s="832"/>
      <c r="L79" s="508"/>
      <c r="M79" s="508"/>
      <c r="N79" s="508"/>
      <c r="O79" s="440"/>
      <c r="P79" s="957">
        <f t="shared" si="29"/>
        <v>0</v>
      </c>
      <c r="Q79" s="430"/>
      <c r="R79" s="430"/>
      <c r="S79" s="832"/>
      <c r="T79" s="832"/>
      <c r="U79" s="832"/>
      <c r="V79" s="508"/>
      <c r="W79" s="440"/>
      <c r="X79" s="955">
        <f t="shared" si="30"/>
        <v>1</v>
      </c>
      <c r="Y79" s="841"/>
      <c r="Z79" s="430"/>
      <c r="AA79" s="832"/>
      <c r="AB79" s="440" t="s">
        <v>562</v>
      </c>
      <c r="AC79" s="957">
        <f t="shared" si="31"/>
        <v>0</v>
      </c>
      <c r="AD79" s="841"/>
      <c r="AE79" s="832"/>
      <c r="AF79" s="440"/>
      <c r="AG79" s="430"/>
      <c r="AH79" s="833"/>
      <c r="AI79" s="833" t="s">
        <v>1411</v>
      </c>
      <c r="AJ79" s="490"/>
      <c r="AK79" s="569"/>
      <c r="AL79" s="567"/>
    </row>
    <row r="80" spans="1:38" ht="56.25">
      <c r="A80" s="1536"/>
      <c r="B80" s="1536"/>
      <c r="C80" s="830" t="s">
        <v>986</v>
      </c>
      <c r="D80" s="423" t="s">
        <v>1218</v>
      </c>
      <c r="E80" s="926">
        <f t="shared" si="28"/>
        <v>6</v>
      </c>
      <c r="F80" s="955">
        <f t="shared" si="19"/>
        <v>3</v>
      </c>
      <c r="G80" s="841"/>
      <c r="H80" s="832" t="s">
        <v>562</v>
      </c>
      <c r="I80" s="832"/>
      <c r="J80" s="832" t="s">
        <v>562</v>
      </c>
      <c r="K80" s="832" t="s">
        <v>562</v>
      </c>
      <c r="L80" s="508"/>
      <c r="M80" s="508"/>
      <c r="N80" s="508"/>
      <c r="O80" s="440"/>
      <c r="P80" s="957">
        <f t="shared" si="29"/>
        <v>2</v>
      </c>
      <c r="Q80" s="430"/>
      <c r="R80" s="430" t="s">
        <v>562</v>
      </c>
      <c r="S80" s="832" t="s">
        <v>562</v>
      </c>
      <c r="T80" s="832"/>
      <c r="U80" s="832"/>
      <c r="V80" s="508"/>
      <c r="W80" s="440"/>
      <c r="X80" s="955">
        <f t="shared" si="30"/>
        <v>1</v>
      </c>
      <c r="Y80" s="841"/>
      <c r="Z80" s="430"/>
      <c r="AA80" s="832"/>
      <c r="AB80" s="440" t="s">
        <v>562</v>
      </c>
      <c r="AC80" s="957">
        <f t="shared" si="31"/>
        <v>0</v>
      </c>
      <c r="AD80" s="841"/>
      <c r="AE80" s="832"/>
      <c r="AF80" s="440"/>
      <c r="AG80" s="430"/>
      <c r="AH80" s="833"/>
      <c r="AI80" s="833" t="s">
        <v>1412</v>
      </c>
      <c r="AJ80" s="490"/>
      <c r="AK80" s="569"/>
      <c r="AL80" s="567"/>
    </row>
    <row r="81" spans="1:38" s="966" customFormat="1" ht="16.5" customHeight="1">
      <c r="A81" s="958" t="s">
        <v>1589</v>
      </c>
      <c r="B81" s="958"/>
      <c r="C81" s="530"/>
      <c r="D81" s="423"/>
      <c r="E81" s="933"/>
      <c r="F81" s="959"/>
      <c r="G81" s="960">
        <f>COUNTIF(G59:G80, "M")</f>
        <v>0</v>
      </c>
      <c r="H81" s="960">
        <f t="shared" ref="H81:AF81" si="32">COUNTIF(H59:H80, "M")</f>
        <v>0</v>
      </c>
      <c r="I81" s="960">
        <f t="shared" si="32"/>
        <v>0</v>
      </c>
      <c r="J81" s="960">
        <f t="shared" si="32"/>
        <v>0</v>
      </c>
      <c r="K81" s="960">
        <f t="shared" si="32"/>
        <v>0</v>
      </c>
      <c r="L81" s="960">
        <f t="shared" si="32"/>
        <v>0</v>
      </c>
      <c r="M81" s="960">
        <f t="shared" si="32"/>
        <v>0</v>
      </c>
      <c r="N81" s="960">
        <f t="shared" si="32"/>
        <v>0</v>
      </c>
      <c r="O81" s="960">
        <f t="shared" si="32"/>
        <v>0</v>
      </c>
      <c r="P81" s="960"/>
      <c r="Q81" s="960">
        <f t="shared" si="32"/>
        <v>0</v>
      </c>
      <c r="R81" s="961">
        <f t="shared" si="32"/>
        <v>0</v>
      </c>
      <c r="S81" s="960">
        <f t="shared" si="32"/>
        <v>0</v>
      </c>
      <c r="T81" s="960">
        <f t="shared" si="32"/>
        <v>0</v>
      </c>
      <c r="U81" s="960">
        <f t="shared" si="32"/>
        <v>0</v>
      </c>
      <c r="V81" s="962">
        <f t="shared" si="32"/>
        <v>0</v>
      </c>
      <c r="W81" s="957">
        <f t="shared" si="32"/>
        <v>0</v>
      </c>
      <c r="X81" s="961"/>
      <c r="Y81" s="960">
        <f t="shared" si="32"/>
        <v>0</v>
      </c>
      <c r="Z81" s="960">
        <f t="shared" si="32"/>
        <v>0</v>
      </c>
      <c r="AA81" s="960">
        <f t="shared" si="32"/>
        <v>0</v>
      </c>
      <c r="AB81" s="960">
        <f t="shared" si="32"/>
        <v>0</v>
      </c>
      <c r="AC81" s="960"/>
      <c r="AD81" s="960">
        <f t="shared" si="32"/>
        <v>0</v>
      </c>
      <c r="AE81" s="960">
        <f t="shared" si="32"/>
        <v>0</v>
      </c>
      <c r="AF81" s="960">
        <f t="shared" si="32"/>
        <v>0</v>
      </c>
      <c r="AG81" s="963"/>
      <c r="AH81" s="964"/>
      <c r="AI81" s="535"/>
      <c r="AJ81" s="965"/>
      <c r="AK81" s="569"/>
      <c r="AL81" s="569"/>
    </row>
    <row r="82" spans="1:38" s="966" customFormat="1" ht="12.75">
      <c r="A82" s="958" t="s">
        <v>1590</v>
      </c>
      <c r="B82" s="958"/>
      <c r="C82" s="967"/>
      <c r="D82" s="423"/>
      <c r="E82" s="933"/>
      <c r="F82" s="959"/>
      <c r="G82" s="960">
        <f>COUNTIF(G59:G81, "H")</f>
        <v>0</v>
      </c>
      <c r="H82" s="960">
        <f t="shared" ref="H82:AF82" si="33">COUNTIF(H59:H81, "H")</f>
        <v>12</v>
      </c>
      <c r="I82" s="960">
        <f t="shared" si="33"/>
        <v>2</v>
      </c>
      <c r="J82" s="960">
        <f t="shared" si="33"/>
        <v>7</v>
      </c>
      <c r="K82" s="960">
        <f t="shared" si="33"/>
        <v>15</v>
      </c>
      <c r="L82" s="960">
        <f t="shared" si="33"/>
        <v>0</v>
      </c>
      <c r="M82" s="960">
        <f t="shared" si="33"/>
        <v>0</v>
      </c>
      <c r="N82" s="960">
        <f t="shared" si="33"/>
        <v>0</v>
      </c>
      <c r="O82" s="960">
        <f t="shared" si="33"/>
        <v>3</v>
      </c>
      <c r="P82" s="960"/>
      <c r="Q82" s="960">
        <f t="shared" si="33"/>
        <v>0</v>
      </c>
      <c r="R82" s="961">
        <f t="shared" si="33"/>
        <v>15</v>
      </c>
      <c r="S82" s="960">
        <f t="shared" si="33"/>
        <v>16</v>
      </c>
      <c r="T82" s="960">
        <f t="shared" si="33"/>
        <v>7</v>
      </c>
      <c r="U82" s="960">
        <f t="shared" si="33"/>
        <v>7</v>
      </c>
      <c r="V82" s="962">
        <f t="shared" si="33"/>
        <v>7</v>
      </c>
      <c r="W82" s="957">
        <f t="shared" si="33"/>
        <v>0</v>
      </c>
      <c r="X82" s="961"/>
      <c r="Y82" s="960">
        <f t="shared" si="33"/>
        <v>0</v>
      </c>
      <c r="Z82" s="960">
        <f t="shared" si="33"/>
        <v>0</v>
      </c>
      <c r="AA82" s="960">
        <f t="shared" si="33"/>
        <v>0</v>
      </c>
      <c r="AB82" s="960">
        <f t="shared" si="33"/>
        <v>21</v>
      </c>
      <c r="AC82" s="960"/>
      <c r="AD82" s="960">
        <f t="shared" si="33"/>
        <v>0</v>
      </c>
      <c r="AE82" s="960">
        <f t="shared" si="33"/>
        <v>0</v>
      </c>
      <c r="AF82" s="960">
        <f t="shared" si="33"/>
        <v>0</v>
      </c>
      <c r="AG82" s="963"/>
      <c r="AH82" s="964"/>
      <c r="AI82" s="535"/>
      <c r="AJ82" s="965"/>
      <c r="AK82" s="569"/>
      <c r="AL82" s="569"/>
    </row>
    <row r="83" spans="1:38" ht="15">
      <c r="A83" s="1525" t="s">
        <v>587</v>
      </c>
      <c r="B83" s="1525" t="s">
        <v>564</v>
      </c>
      <c r="C83" s="1526" t="s">
        <v>521</v>
      </c>
      <c r="D83" s="424" t="s">
        <v>1001</v>
      </c>
      <c r="E83" s="914">
        <f t="shared" ref="E83:E96" si="34">SUM(F83+P83+X83)</f>
        <v>4</v>
      </c>
      <c r="F83" s="968">
        <f t="shared" ref="F83:F96" si="35">COUNTIF(G83:O83,"H")</f>
        <v>3</v>
      </c>
      <c r="G83" s="441"/>
      <c r="H83" s="834" t="s">
        <v>562</v>
      </c>
      <c r="I83" s="834" t="s">
        <v>562</v>
      </c>
      <c r="J83" s="834"/>
      <c r="K83" s="834" t="s">
        <v>562</v>
      </c>
      <c r="L83" s="506"/>
      <c r="M83" s="506"/>
      <c r="N83" s="506"/>
      <c r="O83" s="442"/>
      <c r="P83" s="969">
        <f>COUNTIF(Q83:W83,"H")</f>
        <v>0</v>
      </c>
      <c r="Q83" s="431"/>
      <c r="R83" s="431"/>
      <c r="S83" s="834"/>
      <c r="T83" s="834"/>
      <c r="U83" s="834"/>
      <c r="V83" s="506"/>
      <c r="W83" s="442"/>
      <c r="X83" s="968">
        <f t="shared" ref="X83:X96" si="36">COUNTIF(Y83:AB83,"H")</f>
        <v>1</v>
      </c>
      <c r="Y83" s="441"/>
      <c r="Z83" s="431"/>
      <c r="AA83" s="834"/>
      <c r="AB83" s="442" t="s">
        <v>562</v>
      </c>
      <c r="AC83" s="969">
        <f t="shared" ref="AC83:AC96" si="37">COUNTIF(AD83:AF83,"H")</f>
        <v>0</v>
      </c>
      <c r="AD83" s="441"/>
      <c r="AE83" s="834"/>
      <c r="AF83" s="442"/>
      <c r="AG83" s="431"/>
      <c r="AH83" s="1516" t="s">
        <v>1217</v>
      </c>
      <c r="AI83" s="1527" t="s">
        <v>1216</v>
      </c>
      <c r="AJ83" s="491"/>
      <c r="AK83" s="570"/>
      <c r="AL83" s="567"/>
    </row>
    <row r="84" spans="1:38" ht="15">
      <c r="A84" s="1525"/>
      <c r="B84" s="1525"/>
      <c r="C84" s="1526"/>
      <c r="D84" s="424" t="s">
        <v>1002</v>
      </c>
      <c r="E84" s="914">
        <f t="shared" si="34"/>
        <v>3</v>
      </c>
      <c r="F84" s="968">
        <f t="shared" si="35"/>
        <v>2</v>
      </c>
      <c r="G84" s="441"/>
      <c r="H84" s="834" t="s">
        <v>562</v>
      </c>
      <c r="I84" s="834" t="s">
        <v>562</v>
      </c>
      <c r="J84" s="834"/>
      <c r="K84" s="834"/>
      <c r="L84" s="506"/>
      <c r="M84" s="506"/>
      <c r="N84" s="506"/>
      <c r="O84" s="442"/>
      <c r="P84" s="969">
        <f t="shared" ref="P84:P96" si="38">COUNTIF(Q84:W84,"H")</f>
        <v>0</v>
      </c>
      <c r="Q84" s="431"/>
      <c r="R84" s="431"/>
      <c r="S84" s="834"/>
      <c r="T84" s="834"/>
      <c r="U84" s="834"/>
      <c r="V84" s="506"/>
      <c r="W84" s="442"/>
      <c r="X84" s="968">
        <f t="shared" si="36"/>
        <v>1</v>
      </c>
      <c r="Y84" s="441"/>
      <c r="Z84" s="431"/>
      <c r="AA84" s="834"/>
      <c r="AB84" s="442" t="s">
        <v>562</v>
      </c>
      <c r="AC84" s="969">
        <f t="shared" si="37"/>
        <v>0</v>
      </c>
      <c r="AD84" s="441"/>
      <c r="AE84" s="834"/>
      <c r="AF84" s="442"/>
      <c r="AG84" s="431"/>
      <c r="AH84" s="1517"/>
      <c r="AI84" s="1527"/>
      <c r="AJ84" s="491"/>
      <c r="AK84" s="570"/>
      <c r="AL84" s="567"/>
    </row>
    <row r="85" spans="1:38" ht="15">
      <c r="A85" s="1525"/>
      <c r="B85" s="1525"/>
      <c r="C85" s="1526"/>
      <c r="D85" s="424" t="s">
        <v>1003</v>
      </c>
      <c r="E85" s="914">
        <f t="shared" si="34"/>
        <v>4</v>
      </c>
      <c r="F85" s="968">
        <f t="shared" si="35"/>
        <v>3</v>
      </c>
      <c r="G85" s="441"/>
      <c r="H85" s="834" t="s">
        <v>562</v>
      </c>
      <c r="I85" s="834" t="s">
        <v>562</v>
      </c>
      <c r="J85" s="834"/>
      <c r="K85" s="834" t="s">
        <v>562</v>
      </c>
      <c r="L85" s="506"/>
      <c r="M85" s="506"/>
      <c r="N85" s="506"/>
      <c r="O85" s="442"/>
      <c r="P85" s="969">
        <f t="shared" si="38"/>
        <v>0</v>
      </c>
      <c r="Q85" s="431"/>
      <c r="R85" s="431"/>
      <c r="S85" s="834"/>
      <c r="T85" s="834"/>
      <c r="U85" s="834"/>
      <c r="V85" s="506"/>
      <c r="W85" s="442"/>
      <c r="X85" s="968">
        <f t="shared" si="36"/>
        <v>1</v>
      </c>
      <c r="Y85" s="441"/>
      <c r="Z85" s="431"/>
      <c r="AA85" s="834"/>
      <c r="AB85" s="442" t="s">
        <v>562</v>
      </c>
      <c r="AC85" s="969">
        <f t="shared" si="37"/>
        <v>0</v>
      </c>
      <c r="AD85" s="441"/>
      <c r="AE85" s="834"/>
      <c r="AF85" s="442"/>
      <c r="AG85" s="431"/>
      <c r="AH85" s="1517"/>
      <c r="AI85" s="1527"/>
      <c r="AJ85" s="491"/>
      <c r="AK85" s="570"/>
      <c r="AL85" s="567"/>
    </row>
    <row r="86" spans="1:38" ht="25.5">
      <c r="A86" s="1525"/>
      <c r="B86" s="1525"/>
      <c r="C86" s="1526"/>
      <c r="D86" s="424" t="s">
        <v>1068</v>
      </c>
      <c r="E86" s="914">
        <f t="shared" si="34"/>
        <v>1</v>
      </c>
      <c r="F86" s="968">
        <f t="shared" si="35"/>
        <v>0</v>
      </c>
      <c r="G86" s="441"/>
      <c r="H86" s="834"/>
      <c r="I86" s="834"/>
      <c r="J86" s="834"/>
      <c r="K86" s="834"/>
      <c r="L86" s="506"/>
      <c r="M86" s="506"/>
      <c r="N86" s="506"/>
      <c r="O86" s="442"/>
      <c r="P86" s="969">
        <f t="shared" si="38"/>
        <v>0</v>
      </c>
      <c r="Q86" s="431"/>
      <c r="R86" s="431"/>
      <c r="S86" s="834"/>
      <c r="T86" s="834"/>
      <c r="U86" s="834"/>
      <c r="V86" s="506"/>
      <c r="W86" s="442"/>
      <c r="X86" s="968">
        <f t="shared" si="36"/>
        <v>1</v>
      </c>
      <c r="Y86" s="441"/>
      <c r="Z86" s="431"/>
      <c r="AA86" s="834"/>
      <c r="AB86" s="442" t="s">
        <v>562</v>
      </c>
      <c r="AC86" s="969">
        <f t="shared" si="37"/>
        <v>0</v>
      </c>
      <c r="AD86" s="441"/>
      <c r="AE86" s="834"/>
      <c r="AF86" s="442"/>
      <c r="AG86" s="431"/>
      <c r="AH86" s="1517"/>
      <c r="AI86" s="1527"/>
      <c r="AJ86" s="491"/>
      <c r="AK86" s="570"/>
      <c r="AL86" s="567"/>
    </row>
    <row r="87" spans="1:38" ht="15">
      <c r="A87" s="1525"/>
      <c r="B87" s="1525"/>
      <c r="C87" s="1526"/>
      <c r="D87" s="424" t="s">
        <v>1004</v>
      </c>
      <c r="E87" s="914">
        <f t="shared" si="34"/>
        <v>3</v>
      </c>
      <c r="F87" s="968">
        <f t="shared" si="35"/>
        <v>2</v>
      </c>
      <c r="G87" s="441"/>
      <c r="H87" s="834"/>
      <c r="I87" s="834" t="s">
        <v>562</v>
      </c>
      <c r="J87" s="834"/>
      <c r="K87" s="834" t="s">
        <v>562</v>
      </c>
      <c r="L87" s="506"/>
      <c r="M87" s="506"/>
      <c r="N87" s="506"/>
      <c r="O87" s="442"/>
      <c r="P87" s="969">
        <f t="shared" si="38"/>
        <v>0</v>
      </c>
      <c r="Q87" s="431"/>
      <c r="R87" s="431"/>
      <c r="S87" s="834"/>
      <c r="T87" s="834"/>
      <c r="U87" s="834"/>
      <c r="V87" s="506"/>
      <c r="W87" s="442"/>
      <c r="X87" s="968">
        <f t="shared" si="36"/>
        <v>1</v>
      </c>
      <c r="Y87" s="441"/>
      <c r="Z87" s="431"/>
      <c r="AA87" s="834"/>
      <c r="AB87" s="442" t="s">
        <v>562</v>
      </c>
      <c r="AC87" s="969">
        <f t="shared" si="37"/>
        <v>0</v>
      </c>
      <c r="AD87" s="441"/>
      <c r="AE87" s="834"/>
      <c r="AF87" s="442"/>
      <c r="AG87" s="431"/>
      <c r="AH87" s="1518"/>
      <c r="AI87" s="1527"/>
      <c r="AJ87" s="491"/>
      <c r="AK87" s="570"/>
      <c r="AL87" s="567"/>
    </row>
    <row r="88" spans="1:38" ht="25.5">
      <c r="A88" s="1525"/>
      <c r="B88" s="1525"/>
      <c r="C88" s="835" t="s">
        <v>987</v>
      </c>
      <c r="D88" s="424" t="s">
        <v>1041</v>
      </c>
      <c r="E88" s="914">
        <f t="shared" si="34"/>
        <v>3</v>
      </c>
      <c r="F88" s="968">
        <f t="shared" si="35"/>
        <v>0</v>
      </c>
      <c r="G88" s="441"/>
      <c r="H88" s="834"/>
      <c r="I88" s="834"/>
      <c r="J88" s="834"/>
      <c r="K88" s="834"/>
      <c r="L88" s="506"/>
      <c r="M88" s="506"/>
      <c r="N88" s="506"/>
      <c r="O88" s="442"/>
      <c r="P88" s="969">
        <f t="shared" si="38"/>
        <v>2</v>
      </c>
      <c r="Q88" s="431"/>
      <c r="R88" s="431" t="s">
        <v>562</v>
      </c>
      <c r="S88" s="834" t="s">
        <v>562</v>
      </c>
      <c r="T88" s="834"/>
      <c r="U88" s="834"/>
      <c r="V88" s="506"/>
      <c r="W88" s="442"/>
      <c r="X88" s="968">
        <f t="shared" si="36"/>
        <v>1</v>
      </c>
      <c r="Y88" s="441"/>
      <c r="Z88" s="431"/>
      <c r="AA88" s="834"/>
      <c r="AB88" s="442" t="s">
        <v>562</v>
      </c>
      <c r="AC88" s="969">
        <f t="shared" si="37"/>
        <v>0</v>
      </c>
      <c r="AD88" s="441"/>
      <c r="AE88" s="834"/>
      <c r="AF88" s="442"/>
      <c r="AG88" s="431"/>
      <c r="AH88" s="554" t="s">
        <v>1215</v>
      </c>
      <c r="AI88" s="836" t="s">
        <v>1214</v>
      </c>
      <c r="AJ88" s="491"/>
      <c r="AK88" s="570"/>
      <c r="AL88" s="567"/>
    </row>
    <row r="89" spans="1:38" ht="22.5">
      <c r="A89" s="1525"/>
      <c r="B89" s="1525"/>
      <c r="C89" s="1526" t="s">
        <v>523</v>
      </c>
      <c r="D89" s="424" t="s">
        <v>865</v>
      </c>
      <c r="E89" s="914">
        <f t="shared" si="34"/>
        <v>3</v>
      </c>
      <c r="F89" s="968">
        <f t="shared" si="35"/>
        <v>2</v>
      </c>
      <c r="G89" s="441"/>
      <c r="H89" s="834" t="s">
        <v>562</v>
      </c>
      <c r="I89" s="834"/>
      <c r="J89" s="834"/>
      <c r="K89" s="834" t="s">
        <v>562</v>
      </c>
      <c r="L89" s="506"/>
      <c r="M89" s="506"/>
      <c r="N89" s="506"/>
      <c r="O89" s="442"/>
      <c r="P89" s="969">
        <f t="shared" si="38"/>
        <v>0</v>
      </c>
      <c r="Q89" s="431"/>
      <c r="R89" s="431"/>
      <c r="S89" s="834"/>
      <c r="T89" s="834"/>
      <c r="U89" s="834"/>
      <c r="V89" s="506"/>
      <c r="W89" s="442"/>
      <c r="X89" s="968">
        <f t="shared" si="36"/>
        <v>1</v>
      </c>
      <c r="Y89" s="441"/>
      <c r="Z89" s="431"/>
      <c r="AA89" s="834"/>
      <c r="AB89" s="442" t="s">
        <v>562</v>
      </c>
      <c r="AC89" s="969">
        <f t="shared" si="37"/>
        <v>0</v>
      </c>
      <c r="AD89" s="441"/>
      <c r="AE89" s="834"/>
      <c r="AF89" s="442"/>
      <c r="AG89" s="431"/>
      <c r="AH89" s="554" t="s">
        <v>1213</v>
      </c>
      <c r="AI89" s="836" t="s">
        <v>1212</v>
      </c>
      <c r="AJ89" s="491"/>
      <c r="AK89" s="570"/>
      <c r="AL89" s="567"/>
    </row>
    <row r="90" spans="1:38" ht="22.5">
      <c r="A90" s="1525"/>
      <c r="B90" s="1525"/>
      <c r="C90" s="1526"/>
      <c r="D90" s="424" t="s">
        <v>866</v>
      </c>
      <c r="E90" s="914">
        <f t="shared" si="34"/>
        <v>4</v>
      </c>
      <c r="F90" s="968">
        <f t="shared" si="35"/>
        <v>3</v>
      </c>
      <c r="G90" s="441" t="s">
        <v>562</v>
      </c>
      <c r="H90" s="834" t="s">
        <v>562</v>
      </c>
      <c r="I90" s="834"/>
      <c r="J90" s="834"/>
      <c r="K90" s="834" t="s">
        <v>562</v>
      </c>
      <c r="L90" s="506"/>
      <c r="M90" s="506"/>
      <c r="N90" s="506"/>
      <c r="O90" s="442"/>
      <c r="P90" s="969">
        <f t="shared" si="38"/>
        <v>0</v>
      </c>
      <c r="Q90" s="431"/>
      <c r="R90" s="431"/>
      <c r="S90" s="834"/>
      <c r="T90" s="834"/>
      <c r="U90" s="834"/>
      <c r="V90" s="506"/>
      <c r="W90" s="442"/>
      <c r="X90" s="968">
        <f t="shared" si="36"/>
        <v>1</v>
      </c>
      <c r="Y90" s="441"/>
      <c r="Z90" s="431"/>
      <c r="AA90" s="834"/>
      <c r="AB90" s="442" t="s">
        <v>562</v>
      </c>
      <c r="AC90" s="969">
        <f t="shared" si="37"/>
        <v>0</v>
      </c>
      <c r="AD90" s="441"/>
      <c r="AE90" s="834"/>
      <c r="AF90" s="442"/>
      <c r="AG90" s="431"/>
      <c r="AH90" s="554" t="s">
        <v>1211</v>
      </c>
      <c r="AI90" s="836" t="s">
        <v>1210</v>
      </c>
      <c r="AJ90" s="491"/>
      <c r="AK90" s="570"/>
      <c r="AL90" s="567"/>
    </row>
    <row r="91" spans="1:38" ht="33.75">
      <c r="A91" s="1525"/>
      <c r="B91" s="1525"/>
      <c r="C91" s="1526"/>
      <c r="D91" s="424" t="s">
        <v>525</v>
      </c>
      <c r="E91" s="914">
        <f t="shared" si="34"/>
        <v>2</v>
      </c>
      <c r="F91" s="968">
        <f t="shared" si="35"/>
        <v>1</v>
      </c>
      <c r="G91" s="441"/>
      <c r="H91" s="834" t="s">
        <v>562</v>
      </c>
      <c r="I91" s="834"/>
      <c r="J91" s="834"/>
      <c r="K91" s="834"/>
      <c r="L91" s="506"/>
      <c r="M91" s="506"/>
      <c r="N91" s="506"/>
      <c r="O91" s="442"/>
      <c r="P91" s="969">
        <f t="shared" si="38"/>
        <v>0</v>
      </c>
      <c r="Q91" s="431"/>
      <c r="R91" s="431"/>
      <c r="S91" s="834"/>
      <c r="T91" s="834"/>
      <c r="U91" s="834"/>
      <c r="V91" s="506"/>
      <c r="W91" s="442"/>
      <c r="X91" s="968">
        <f t="shared" si="36"/>
        <v>1</v>
      </c>
      <c r="Y91" s="441"/>
      <c r="Z91" s="431"/>
      <c r="AA91" s="834"/>
      <c r="AB91" s="442" t="s">
        <v>562</v>
      </c>
      <c r="AC91" s="969">
        <f t="shared" si="37"/>
        <v>0</v>
      </c>
      <c r="AD91" s="441"/>
      <c r="AE91" s="834"/>
      <c r="AF91" s="442"/>
      <c r="AG91" s="431"/>
      <c r="AH91" s="554" t="s">
        <v>1209</v>
      </c>
      <c r="AI91" s="836" t="s">
        <v>1208</v>
      </c>
      <c r="AJ91" s="491"/>
      <c r="AK91" s="570"/>
      <c r="AL91" s="567"/>
    </row>
    <row r="92" spans="1:38" ht="15">
      <c r="A92" s="1507" t="s">
        <v>562</v>
      </c>
      <c r="B92" s="1507" t="s">
        <v>589</v>
      </c>
      <c r="C92" s="1510" t="s">
        <v>988</v>
      </c>
      <c r="D92" s="424" t="s">
        <v>1040</v>
      </c>
      <c r="E92" s="914">
        <f t="shared" si="34"/>
        <v>2</v>
      </c>
      <c r="F92" s="968">
        <f t="shared" si="35"/>
        <v>1</v>
      </c>
      <c r="G92" s="441"/>
      <c r="H92" s="1507" t="s">
        <v>562</v>
      </c>
      <c r="I92" s="834"/>
      <c r="J92" s="834"/>
      <c r="K92" s="834"/>
      <c r="L92" s="506"/>
      <c r="M92" s="506"/>
      <c r="N92" s="506"/>
      <c r="O92" s="442"/>
      <c r="P92" s="969">
        <f t="shared" si="38"/>
        <v>0</v>
      </c>
      <c r="Q92" s="431"/>
      <c r="R92" s="431"/>
      <c r="S92" s="834"/>
      <c r="T92" s="834"/>
      <c r="U92" s="834"/>
      <c r="V92" s="506"/>
      <c r="W92" s="442"/>
      <c r="X92" s="968">
        <f t="shared" si="36"/>
        <v>1</v>
      </c>
      <c r="Y92" s="441"/>
      <c r="Z92" s="431"/>
      <c r="AA92" s="834"/>
      <c r="AB92" s="442" t="s">
        <v>562</v>
      </c>
      <c r="AC92" s="969">
        <f t="shared" si="37"/>
        <v>0</v>
      </c>
      <c r="AD92" s="441"/>
      <c r="AE92" s="834"/>
      <c r="AF92" s="442"/>
      <c r="AG92" s="431"/>
      <c r="AH92" s="1516" t="s">
        <v>1207</v>
      </c>
      <c r="AI92" s="1516" t="s">
        <v>1616</v>
      </c>
      <c r="AJ92" s="491"/>
      <c r="AK92" s="570"/>
      <c r="AL92" s="567"/>
    </row>
    <row r="93" spans="1:38" ht="15">
      <c r="A93" s="1508"/>
      <c r="B93" s="1508"/>
      <c r="C93" s="1511"/>
      <c r="D93" s="424" t="s">
        <v>437</v>
      </c>
      <c r="E93" s="914">
        <f t="shared" si="34"/>
        <v>1</v>
      </c>
      <c r="F93" s="968">
        <f t="shared" si="35"/>
        <v>0</v>
      </c>
      <c r="G93" s="441"/>
      <c r="H93" s="1508"/>
      <c r="I93" s="834"/>
      <c r="J93" s="834"/>
      <c r="K93" s="834"/>
      <c r="L93" s="506"/>
      <c r="M93" s="506"/>
      <c r="N93" s="506"/>
      <c r="O93" s="442"/>
      <c r="P93" s="969">
        <f t="shared" si="38"/>
        <v>0</v>
      </c>
      <c r="Q93" s="431"/>
      <c r="R93" s="431"/>
      <c r="S93" s="834"/>
      <c r="T93" s="834"/>
      <c r="U93" s="834"/>
      <c r="V93" s="506"/>
      <c r="W93" s="442"/>
      <c r="X93" s="968">
        <f t="shared" si="36"/>
        <v>1</v>
      </c>
      <c r="Y93" s="441"/>
      <c r="Z93" s="431"/>
      <c r="AA93" s="834"/>
      <c r="AB93" s="442" t="s">
        <v>562</v>
      </c>
      <c r="AC93" s="969">
        <f t="shared" si="37"/>
        <v>0</v>
      </c>
      <c r="AD93" s="441"/>
      <c r="AE93" s="834"/>
      <c r="AF93" s="442"/>
      <c r="AG93" s="431"/>
      <c r="AH93" s="1517"/>
      <c r="AI93" s="1517"/>
      <c r="AJ93" s="491"/>
      <c r="AK93" s="570"/>
      <c r="AL93" s="567"/>
    </row>
    <row r="94" spans="1:38" ht="15">
      <c r="A94" s="1508"/>
      <c r="B94" s="1508"/>
      <c r="C94" s="1511"/>
      <c r="D94" s="424" t="s">
        <v>1617</v>
      </c>
      <c r="E94" s="914">
        <f t="shared" si="34"/>
        <v>1</v>
      </c>
      <c r="F94" s="968">
        <f t="shared" si="35"/>
        <v>0</v>
      </c>
      <c r="G94" s="441"/>
      <c r="H94" s="1508"/>
      <c r="I94" s="834"/>
      <c r="J94" s="834"/>
      <c r="K94" s="834"/>
      <c r="L94" s="506"/>
      <c r="M94" s="506"/>
      <c r="N94" s="506"/>
      <c r="O94" s="442"/>
      <c r="P94" s="969">
        <f t="shared" si="38"/>
        <v>0</v>
      </c>
      <c r="Q94" s="431"/>
      <c r="R94" s="431"/>
      <c r="S94" s="834"/>
      <c r="T94" s="834"/>
      <c r="U94" s="834"/>
      <c r="V94" s="506"/>
      <c r="W94" s="442"/>
      <c r="X94" s="968">
        <f t="shared" si="36"/>
        <v>1</v>
      </c>
      <c r="Y94" s="441"/>
      <c r="Z94" s="431"/>
      <c r="AA94" s="834"/>
      <c r="AB94" s="442" t="s">
        <v>562</v>
      </c>
      <c r="AC94" s="969">
        <f t="shared" si="37"/>
        <v>0</v>
      </c>
      <c r="AD94" s="441"/>
      <c r="AE94" s="834"/>
      <c r="AF94" s="442"/>
      <c r="AG94" s="431"/>
      <c r="AH94" s="1517"/>
      <c r="AI94" s="1517"/>
      <c r="AJ94" s="491"/>
      <c r="AK94" s="570"/>
      <c r="AL94" s="567"/>
    </row>
    <row r="95" spans="1:38" ht="15">
      <c r="A95" s="1508"/>
      <c r="B95" s="1508"/>
      <c r="C95" s="1511"/>
      <c r="D95" s="424" t="s">
        <v>1070</v>
      </c>
      <c r="E95" s="914">
        <f t="shared" si="34"/>
        <v>1</v>
      </c>
      <c r="F95" s="968">
        <f t="shared" si="35"/>
        <v>0</v>
      </c>
      <c r="G95" s="441"/>
      <c r="H95" s="1508"/>
      <c r="I95" s="834"/>
      <c r="J95" s="834"/>
      <c r="K95" s="834"/>
      <c r="L95" s="506"/>
      <c r="M95" s="506"/>
      <c r="N95" s="506"/>
      <c r="O95" s="442"/>
      <c r="P95" s="969">
        <f t="shared" si="38"/>
        <v>0</v>
      </c>
      <c r="Q95" s="431"/>
      <c r="R95" s="431"/>
      <c r="S95" s="834"/>
      <c r="T95" s="834"/>
      <c r="U95" s="834"/>
      <c r="V95" s="506"/>
      <c r="W95" s="442"/>
      <c r="X95" s="968">
        <f t="shared" si="36"/>
        <v>1</v>
      </c>
      <c r="Y95" s="441"/>
      <c r="Z95" s="431"/>
      <c r="AA95" s="834"/>
      <c r="AB95" s="442" t="s">
        <v>562</v>
      </c>
      <c r="AC95" s="969">
        <f t="shared" si="37"/>
        <v>0</v>
      </c>
      <c r="AD95" s="441"/>
      <c r="AE95" s="834"/>
      <c r="AF95" s="442"/>
      <c r="AG95" s="431"/>
      <c r="AH95" s="1517"/>
      <c r="AI95" s="1517"/>
      <c r="AJ95" s="491"/>
      <c r="AK95" s="570"/>
      <c r="AL95" s="567"/>
    </row>
    <row r="96" spans="1:38" ht="15">
      <c r="A96" s="1509"/>
      <c r="B96" s="1509"/>
      <c r="C96" s="1512"/>
      <c r="D96" s="424" t="s">
        <v>441</v>
      </c>
      <c r="E96" s="914">
        <f t="shared" si="34"/>
        <v>3</v>
      </c>
      <c r="F96" s="968">
        <f t="shared" si="35"/>
        <v>0</v>
      </c>
      <c r="G96" s="441"/>
      <c r="H96" s="1509"/>
      <c r="I96" s="834"/>
      <c r="J96" s="834"/>
      <c r="K96" s="834"/>
      <c r="L96" s="506"/>
      <c r="M96" s="506"/>
      <c r="N96" s="506"/>
      <c r="O96" s="442"/>
      <c r="P96" s="969">
        <f t="shared" si="38"/>
        <v>2</v>
      </c>
      <c r="Q96" s="431"/>
      <c r="R96" s="431" t="s">
        <v>562</v>
      </c>
      <c r="S96" s="834" t="s">
        <v>562</v>
      </c>
      <c r="T96" s="834"/>
      <c r="U96" s="834"/>
      <c r="V96" s="506"/>
      <c r="W96" s="442"/>
      <c r="X96" s="968">
        <f t="shared" si="36"/>
        <v>1</v>
      </c>
      <c r="Y96" s="441"/>
      <c r="Z96" s="431"/>
      <c r="AA96" s="834"/>
      <c r="AB96" s="442" t="s">
        <v>562</v>
      </c>
      <c r="AC96" s="969">
        <f t="shared" si="37"/>
        <v>0</v>
      </c>
      <c r="AD96" s="441"/>
      <c r="AE96" s="834"/>
      <c r="AF96" s="442"/>
      <c r="AG96" s="431"/>
      <c r="AH96" s="1518"/>
      <c r="AI96" s="1518"/>
      <c r="AJ96" s="491"/>
      <c r="AK96" s="570"/>
      <c r="AL96" s="567"/>
    </row>
    <row r="97" spans="1:38" s="980" customFormat="1" ht="16.5" customHeight="1">
      <c r="A97" s="970" t="s">
        <v>1589</v>
      </c>
      <c r="B97" s="970"/>
      <c r="C97" s="971"/>
      <c r="D97" s="424"/>
      <c r="E97" s="933"/>
      <c r="F97" s="972"/>
      <c r="G97" s="973">
        <f>COUNTIF(G83:G96, "M")</f>
        <v>0</v>
      </c>
      <c r="H97" s="973">
        <f t="shared" ref="H97:AE97" si="39">COUNTIF(H83:H96, "M")</f>
        <v>0</v>
      </c>
      <c r="I97" s="973">
        <f t="shared" si="39"/>
        <v>0</v>
      </c>
      <c r="J97" s="973">
        <f t="shared" si="39"/>
        <v>0</v>
      </c>
      <c r="K97" s="973">
        <f t="shared" si="39"/>
        <v>0</v>
      </c>
      <c r="L97" s="973">
        <f t="shared" si="39"/>
        <v>0</v>
      </c>
      <c r="M97" s="973">
        <f t="shared" si="39"/>
        <v>0</v>
      </c>
      <c r="N97" s="973">
        <f t="shared" si="39"/>
        <v>0</v>
      </c>
      <c r="O97" s="973">
        <f t="shared" si="39"/>
        <v>0</v>
      </c>
      <c r="P97" s="973"/>
      <c r="Q97" s="973">
        <f t="shared" si="39"/>
        <v>0</v>
      </c>
      <c r="R97" s="974">
        <f t="shared" si="39"/>
        <v>0</v>
      </c>
      <c r="S97" s="973">
        <f t="shared" si="39"/>
        <v>0</v>
      </c>
      <c r="T97" s="973">
        <f t="shared" si="39"/>
        <v>0</v>
      </c>
      <c r="U97" s="973">
        <f t="shared" si="39"/>
        <v>0</v>
      </c>
      <c r="V97" s="975">
        <f t="shared" si="39"/>
        <v>0</v>
      </c>
      <c r="W97" s="969">
        <f t="shared" si="39"/>
        <v>0</v>
      </c>
      <c r="X97" s="974"/>
      <c r="Y97" s="973">
        <f t="shared" si="39"/>
        <v>0</v>
      </c>
      <c r="Z97" s="973">
        <f t="shared" si="39"/>
        <v>0</v>
      </c>
      <c r="AA97" s="973">
        <f t="shared" si="39"/>
        <v>0</v>
      </c>
      <c r="AB97" s="973">
        <f t="shared" si="39"/>
        <v>0</v>
      </c>
      <c r="AC97" s="973"/>
      <c r="AD97" s="973">
        <f t="shared" si="39"/>
        <v>0</v>
      </c>
      <c r="AE97" s="973">
        <f t="shared" si="39"/>
        <v>0</v>
      </c>
      <c r="AF97" s="973">
        <f>COUNTIF(AF83:AF96, "M")</f>
        <v>0</v>
      </c>
      <c r="AG97" s="976"/>
      <c r="AH97" s="977"/>
      <c r="AI97" s="978"/>
      <c r="AJ97" s="979"/>
      <c r="AK97" s="570"/>
      <c r="AL97" s="570"/>
    </row>
    <row r="98" spans="1:38" s="980" customFormat="1" ht="12.75">
      <c r="A98" s="970" t="s">
        <v>1590</v>
      </c>
      <c r="B98" s="970"/>
      <c r="C98" s="981"/>
      <c r="D98" s="424"/>
      <c r="E98" s="933"/>
      <c r="F98" s="972"/>
      <c r="G98" s="973">
        <f>COUNTIF(G83:G97, "H")</f>
        <v>1</v>
      </c>
      <c r="H98" s="973">
        <f t="shared" ref="H98:AF98" si="40">COUNTIF(H83:H97, "H")</f>
        <v>7</v>
      </c>
      <c r="I98" s="973">
        <f t="shared" si="40"/>
        <v>4</v>
      </c>
      <c r="J98" s="973">
        <f t="shared" si="40"/>
        <v>0</v>
      </c>
      <c r="K98" s="973">
        <f t="shared" si="40"/>
        <v>5</v>
      </c>
      <c r="L98" s="973">
        <f t="shared" si="40"/>
        <v>0</v>
      </c>
      <c r="M98" s="973">
        <f t="shared" si="40"/>
        <v>0</v>
      </c>
      <c r="N98" s="973">
        <f t="shared" si="40"/>
        <v>0</v>
      </c>
      <c r="O98" s="973">
        <f t="shared" si="40"/>
        <v>0</v>
      </c>
      <c r="P98" s="973"/>
      <c r="Q98" s="973">
        <f t="shared" si="40"/>
        <v>0</v>
      </c>
      <c r="R98" s="974">
        <f t="shared" si="40"/>
        <v>2</v>
      </c>
      <c r="S98" s="973">
        <f t="shared" si="40"/>
        <v>2</v>
      </c>
      <c r="T98" s="973">
        <f t="shared" si="40"/>
        <v>0</v>
      </c>
      <c r="U98" s="973">
        <f t="shared" si="40"/>
        <v>0</v>
      </c>
      <c r="V98" s="975">
        <f t="shared" si="40"/>
        <v>0</v>
      </c>
      <c r="W98" s="969">
        <f t="shared" si="40"/>
        <v>0</v>
      </c>
      <c r="X98" s="974"/>
      <c r="Y98" s="973">
        <f t="shared" si="40"/>
        <v>0</v>
      </c>
      <c r="Z98" s="973">
        <f t="shared" si="40"/>
        <v>0</v>
      </c>
      <c r="AA98" s="973">
        <f t="shared" si="40"/>
        <v>0</v>
      </c>
      <c r="AB98" s="973">
        <f t="shared" si="40"/>
        <v>14</v>
      </c>
      <c r="AC98" s="973"/>
      <c r="AD98" s="973">
        <f t="shared" si="40"/>
        <v>0</v>
      </c>
      <c r="AE98" s="973">
        <f t="shared" si="40"/>
        <v>0</v>
      </c>
      <c r="AF98" s="973">
        <f t="shared" si="40"/>
        <v>0</v>
      </c>
      <c r="AG98" s="976"/>
      <c r="AH98" s="977"/>
      <c r="AI98" s="978"/>
      <c r="AJ98" s="979"/>
      <c r="AK98" s="570"/>
      <c r="AL98" s="570"/>
    </row>
    <row r="99" spans="1:38" ht="45">
      <c r="A99" s="1551"/>
      <c r="B99" s="1519" t="s">
        <v>1065</v>
      </c>
      <c r="C99" s="1520" t="s">
        <v>989</v>
      </c>
      <c r="D99" s="422" t="s">
        <v>1045</v>
      </c>
      <c r="E99" s="926">
        <f t="shared" ref="E99:E111" si="41">SUM(F99+P99+X99)</f>
        <v>6</v>
      </c>
      <c r="F99" s="930">
        <f t="shared" ref="F99:F111" si="42">COUNTIF(G99:O99,"H")</f>
        <v>0</v>
      </c>
      <c r="G99" s="436"/>
      <c r="H99" s="828"/>
      <c r="I99" s="828"/>
      <c r="J99" s="828"/>
      <c r="K99" s="828"/>
      <c r="L99" s="495"/>
      <c r="M99" s="495"/>
      <c r="N99" s="495"/>
      <c r="O99" s="437"/>
      <c r="P99" s="931">
        <f t="shared" ref="P99:P111" si="43">COUNTIF(Q99:W99,"H")</f>
        <v>5</v>
      </c>
      <c r="Q99" s="428"/>
      <c r="R99" s="428" t="s">
        <v>562</v>
      </c>
      <c r="S99" s="828" t="s">
        <v>562</v>
      </c>
      <c r="T99" s="828" t="s">
        <v>562</v>
      </c>
      <c r="U99" s="828" t="s">
        <v>562</v>
      </c>
      <c r="V99" s="495" t="s">
        <v>562</v>
      </c>
      <c r="W99" s="437"/>
      <c r="X99" s="930">
        <f t="shared" ref="X99:X111" si="44">COUNTIF(Y99:AB99,"H")</f>
        <v>1</v>
      </c>
      <c r="Y99" s="436"/>
      <c r="Z99" s="428"/>
      <c r="AA99" s="828"/>
      <c r="AB99" s="437" t="s">
        <v>562</v>
      </c>
      <c r="AC99" s="931">
        <f t="shared" ref="AC99:AC111" si="45">COUNTIF(AD99:AF99,"H")</f>
        <v>0</v>
      </c>
      <c r="AD99" s="436"/>
      <c r="AE99" s="828"/>
      <c r="AF99" s="437"/>
      <c r="AG99" s="428"/>
      <c r="AH99" s="528" t="s">
        <v>1206</v>
      </c>
      <c r="AI99" s="494" t="s">
        <v>1205</v>
      </c>
      <c r="AJ99" s="571"/>
      <c r="AK99" s="567"/>
      <c r="AL99" s="567"/>
    </row>
    <row r="100" spans="1:38" ht="38.25">
      <c r="A100" s="1551"/>
      <c r="B100" s="1519"/>
      <c r="C100" s="1521"/>
      <c r="D100" s="422" t="s">
        <v>1042</v>
      </c>
      <c r="E100" s="926">
        <f t="shared" si="41"/>
        <v>5</v>
      </c>
      <c r="F100" s="930">
        <f t="shared" si="42"/>
        <v>0</v>
      </c>
      <c r="G100" s="436"/>
      <c r="H100" s="828"/>
      <c r="I100" s="828"/>
      <c r="J100" s="828"/>
      <c r="K100" s="828"/>
      <c r="L100" s="495"/>
      <c r="M100" s="495"/>
      <c r="N100" s="495"/>
      <c r="O100" s="437"/>
      <c r="P100" s="931">
        <f t="shared" si="43"/>
        <v>4</v>
      </c>
      <c r="Q100" s="428"/>
      <c r="R100" s="428"/>
      <c r="S100" s="828" t="s">
        <v>562</v>
      </c>
      <c r="T100" s="828" t="s">
        <v>562</v>
      </c>
      <c r="U100" s="828" t="s">
        <v>562</v>
      </c>
      <c r="V100" s="495" t="s">
        <v>562</v>
      </c>
      <c r="W100" s="437"/>
      <c r="X100" s="930">
        <f t="shared" si="44"/>
        <v>1</v>
      </c>
      <c r="Y100" s="436"/>
      <c r="Z100" s="428"/>
      <c r="AA100" s="828"/>
      <c r="AB100" s="437" t="s">
        <v>562</v>
      </c>
      <c r="AC100" s="931">
        <f t="shared" si="45"/>
        <v>0</v>
      </c>
      <c r="AD100" s="436"/>
      <c r="AE100" s="828"/>
      <c r="AF100" s="437"/>
      <c r="AG100" s="428"/>
      <c r="AH100" s="555"/>
      <c r="AI100" s="494" t="s">
        <v>1414</v>
      </c>
      <c r="AJ100" s="571"/>
      <c r="AK100" s="567"/>
      <c r="AL100" s="567"/>
    </row>
    <row r="101" spans="1:38" ht="15">
      <c r="A101" s="1551"/>
      <c r="B101" s="1519"/>
      <c r="C101" s="1521"/>
      <c r="D101" s="422" t="s">
        <v>1044</v>
      </c>
      <c r="E101" s="926">
        <f t="shared" si="41"/>
        <v>6</v>
      </c>
      <c r="F101" s="930">
        <f t="shared" si="42"/>
        <v>0</v>
      </c>
      <c r="G101" s="436"/>
      <c r="H101" s="828"/>
      <c r="I101" s="828"/>
      <c r="J101" s="828"/>
      <c r="K101" s="828"/>
      <c r="L101" s="495"/>
      <c r="M101" s="495"/>
      <c r="N101" s="495"/>
      <c r="O101" s="437"/>
      <c r="P101" s="931">
        <f t="shared" si="43"/>
        <v>4</v>
      </c>
      <c r="Q101" s="428"/>
      <c r="R101" s="428"/>
      <c r="S101" s="828" t="s">
        <v>562</v>
      </c>
      <c r="T101" s="828" t="s">
        <v>562</v>
      </c>
      <c r="U101" s="828" t="s">
        <v>562</v>
      </c>
      <c r="V101" s="495" t="s">
        <v>562</v>
      </c>
      <c r="W101" s="437"/>
      <c r="X101" s="930">
        <f t="shared" si="44"/>
        <v>2</v>
      </c>
      <c r="Y101" s="436"/>
      <c r="Z101" s="428" t="s">
        <v>562</v>
      </c>
      <c r="AA101" s="828"/>
      <c r="AB101" s="437" t="s">
        <v>562</v>
      </c>
      <c r="AC101" s="931">
        <f t="shared" si="45"/>
        <v>0</v>
      </c>
      <c r="AD101" s="436"/>
      <c r="AE101" s="828"/>
      <c r="AF101" s="437"/>
      <c r="AG101" s="428"/>
      <c r="AH101" s="555"/>
      <c r="AI101" s="494" t="s">
        <v>1415</v>
      </c>
      <c r="AJ101" s="571"/>
      <c r="AK101" s="567"/>
      <c r="AL101" s="567"/>
    </row>
    <row r="102" spans="1:38" ht="25.5">
      <c r="A102" s="1551"/>
      <c r="B102" s="1519"/>
      <c r="C102" s="1521"/>
      <c r="D102" s="422" t="s">
        <v>1072</v>
      </c>
      <c r="E102" s="926">
        <f t="shared" si="41"/>
        <v>6</v>
      </c>
      <c r="F102" s="930">
        <f t="shared" si="42"/>
        <v>0</v>
      </c>
      <c r="G102" s="436"/>
      <c r="H102" s="828"/>
      <c r="I102" s="828"/>
      <c r="J102" s="828"/>
      <c r="K102" s="828"/>
      <c r="L102" s="495"/>
      <c r="M102" s="495"/>
      <c r="N102" s="495"/>
      <c r="O102" s="437"/>
      <c r="P102" s="931">
        <f t="shared" si="43"/>
        <v>4</v>
      </c>
      <c r="Q102" s="428"/>
      <c r="R102" s="428"/>
      <c r="S102" s="828" t="s">
        <v>562</v>
      </c>
      <c r="T102" s="828" t="s">
        <v>562</v>
      </c>
      <c r="U102" s="828" t="s">
        <v>562</v>
      </c>
      <c r="V102" s="495" t="s">
        <v>562</v>
      </c>
      <c r="W102" s="437"/>
      <c r="X102" s="930">
        <f t="shared" si="44"/>
        <v>2</v>
      </c>
      <c r="Y102" s="436"/>
      <c r="Z102" s="428" t="s">
        <v>562</v>
      </c>
      <c r="AA102" s="828"/>
      <c r="AB102" s="437" t="s">
        <v>562</v>
      </c>
      <c r="AC102" s="931">
        <f t="shared" si="45"/>
        <v>0</v>
      </c>
      <c r="AD102" s="436"/>
      <c r="AE102" s="828"/>
      <c r="AF102" s="437"/>
      <c r="AG102" s="428"/>
      <c r="AH102" s="555"/>
      <c r="AI102" s="494" t="s">
        <v>1414</v>
      </c>
      <c r="AJ102" s="571"/>
      <c r="AK102" s="567"/>
      <c r="AL102" s="567"/>
    </row>
    <row r="103" spans="1:38" ht="15">
      <c r="A103" s="1551"/>
      <c r="B103" s="1519"/>
      <c r="C103" s="831"/>
      <c r="D103" s="422" t="s">
        <v>1416</v>
      </c>
      <c r="E103" s="914">
        <f t="shared" si="41"/>
        <v>2</v>
      </c>
      <c r="F103" s="930">
        <f t="shared" si="42"/>
        <v>0</v>
      </c>
      <c r="G103" s="436"/>
      <c r="H103" s="828"/>
      <c r="I103" s="828"/>
      <c r="J103" s="828"/>
      <c r="K103" s="828"/>
      <c r="L103" s="495"/>
      <c r="M103" s="495"/>
      <c r="N103" s="495"/>
      <c r="O103" s="437"/>
      <c r="P103" s="931">
        <f t="shared" si="43"/>
        <v>0</v>
      </c>
      <c r="Q103" s="428"/>
      <c r="R103" s="428"/>
      <c r="S103" s="828"/>
      <c r="T103" s="828"/>
      <c r="U103" s="828"/>
      <c r="V103" s="495"/>
      <c r="W103" s="437"/>
      <c r="X103" s="930">
        <f t="shared" si="44"/>
        <v>2</v>
      </c>
      <c r="Y103" s="436"/>
      <c r="Z103" s="428" t="s">
        <v>562</v>
      </c>
      <c r="AA103" s="828"/>
      <c r="AB103" s="437" t="s">
        <v>562</v>
      </c>
      <c r="AC103" s="931">
        <f t="shared" si="45"/>
        <v>0</v>
      </c>
      <c r="AD103" s="436"/>
      <c r="AE103" s="828"/>
      <c r="AF103" s="437"/>
      <c r="AG103" s="428"/>
      <c r="AH103" s="555"/>
      <c r="AI103" s="494" t="s">
        <v>1417</v>
      </c>
      <c r="AJ103" s="571"/>
      <c r="AK103" s="567"/>
      <c r="AL103" s="567"/>
    </row>
    <row r="104" spans="1:38" ht="25.5">
      <c r="A104" s="1551"/>
      <c r="B104" s="1519"/>
      <c r="C104" s="831"/>
      <c r="D104" s="422" t="s">
        <v>1073</v>
      </c>
      <c r="E104" s="914">
        <f t="shared" si="41"/>
        <v>1</v>
      </c>
      <c r="F104" s="930">
        <f t="shared" si="42"/>
        <v>0</v>
      </c>
      <c r="G104" s="436"/>
      <c r="H104" s="828"/>
      <c r="I104" s="828"/>
      <c r="J104" s="828"/>
      <c r="K104" s="828"/>
      <c r="L104" s="495"/>
      <c r="M104" s="495"/>
      <c r="N104" s="495"/>
      <c r="O104" s="437"/>
      <c r="P104" s="931">
        <f t="shared" si="43"/>
        <v>0</v>
      </c>
      <c r="Q104" s="428"/>
      <c r="R104" s="428"/>
      <c r="S104" s="828"/>
      <c r="T104" s="828"/>
      <c r="U104" s="828"/>
      <c r="V104" s="495"/>
      <c r="W104" s="437"/>
      <c r="X104" s="930">
        <f t="shared" si="44"/>
        <v>1</v>
      </c>
      <c r="Y104" s="436"/>
      <c r="Z104" s="428" t="s">
        <v>562</v>
      </c>
      <c r="AA104" s="828"/>
      <c r="AB104" s="437"/>
      <c r="AC104" s="931">
        <f t="shared" si="45"/>
        <v>0</v>
      </c>
      <c r="AD104" s="436"/>
      <c r="AE104" s="828"/>
      <c r="AF104" s="437"/>
      <c r="AG104" s="428"/>
      <c r="AH104" s="555"/>
      <c r="AI104" s="494" t="s">
        <v>1418</v>
      </c>
      <c r="AJ104" s="571"/>
      <c r="AK104" s="567"/>
      <c r="AL104" s="567"/>
    </row>
    <row r="105" spans="1:38" ht="38.25">
      <c r="A105" s="1551"/>
      <c r="B105" s="1519"/>
      <c r="C105" s="831"/>
      <c r="D105" s="422" t="s">
        <v>1062</v>
      </c>
      <c r="E105" s="914">
        <f t="shared" si="41"/>
        <v>0</v>
      </c>
      <c r="F105" s="930">
        <f t="shared" si="42"/>
        <v>0</v>
      </c>
      <c r="G105" s="436"/>
      <c r="H105" s="828"/>
      <c r="I105" s="828"/>
      <c r="J105" s="828"/>
      <c r="K105" s="828"/>
      <c r="L105" s="495"/>
      <c r="M105" s="495"/>
      <c r="N105" s="495"/>
      <c r="O105" s="437"/>
      <c r="P105" s="931">
        <f t="shared" si="43"/>
        <v>0</v>
      </c>
      <c r="Q105" s="428"/>
      <c r="R105" s="428"/>
      <c r="S105" s="828"/>
      <c r="T105" s="828"/>
      <c r="U105" s="828"/>
      <c r="V105" s="495"/>
      <c r="W105" s="437"/>
      <c r="X105" s="930">
        <f t="shared" si="44"/>
        <v>0</v>
      </c>
      <c r="Y105" s="436"/>
      <c r="Z105" s="428"/>
      <c r="AA105" s="828"/>
      <c r="AB105" s="437"/>
      <c r="AC105" s="931">
        <f t="shared" si="45"/>
        <v>0</v>
      </c>
      <c r="AD105" s="436"/>
      <c r="AE105" s="828"/>
      <c r="AF105" s="437"/>
      <c r="AG105" s="428"/>
      <c r="AH105" s="555"/>
      <c r="AI105" s="494" t="s">
        <v>1419</v>
      </c>
      <c r="AJ105" s="571"/>
      <c r="AK105" s="567"/>
      <c r="AL105" s="567"/>
    </row>
    <row r="106" spans="1:38" ht="22.5">
      <c r="A106" s="1551"/>
      <c r="B106" s="1519"/>
      <c r="C106" s="1489" t="s">
        <v>1436</v>
      </c>
      <c r="D106" s="422" t="s">
        <v>990</v>
      </c>
      <c r="E106" s="914">
        <f t="shared" si="41"/>
        <v>2</v>
      </c>
      <c r="F106" s="930">
        <f t="shared" si="42"/>
        <v>0</v>
      </c>
      <c r="G106" s="436"/>
      <c r="H106" s="828"/>
      <c r="I106" s="828"/>
      <c r="J106" s="828"/>
      <c r="K106" s="828"/>
      <c r="L106" s="495"/>
      <c r="M106" s="495"/>
      <c r="N106" s="495"/>
      <c r="O106" s="437"/>
      <c r="P106" s="931">
        <f t="shared" si="43"/>
        <v>1</v>
      </c>
      <c r="Q106" s="428"/>
      <c r="R106" s="428"/>
      <c r="S106" s="828" t="s">
        <v>562</v>
      </c>
      <c r="T106" s="828"/>
      <c r="U106" s="828"/>
      <c r="V106" s="495"/>
      <c r="W106" s="437"/>
      <c r="X106" s="930">
        <f t="shared" si="44"/>
        <v>1</v>
      </c>
      <c r="Y106" s="436"/>
      <c r="Z106" s="428"/>
      <c r="AA106" s="828"/>
      <c r="AB106" s="437" t="s">
        <v>562</v>
      </c>
      <c r="AC106" s="931">
        <f t="shared" si="45"/>
        <v>0</v>
      </c>
      <c r="AD106" s="436"/>
      <c r="AE106" s="828"/>
      <c r="AF106" s="437"/>
      <c r="AG106" s="428"/>
      <c r="AH106" s="1593" t="s">
        <v>898</v>
      </c>
      <c r="AI106" s="494" t="s">
        <v>1204</v>
      </c>
      <c r="AJ106" s="571"/>
      <c r="AK106" s="567"/>
      <c r="AL106" s="567"/>
    </row>
    <row r="107" spans="1:38" ht="15">
      <c r="A107" s="1551"/>
      <c r="B107" s="1519"/>
      <c r="C107" s="1490"/>
      <c r="D107" s="422" t="s">
        <v>1043</v>
      </c>
      <c r="E107" s="914">
        <f t="shared" si="41"/>
        <v>1</v>
      </c>
      <c r="F107" s="930">
        <f t="shared" si="42"/>
        <v>0</v>
      </c>
      <c r="G107" s="436"/>
      <c r="H107" s="828"/>
      <c r="I107" s="828"/>
      <c r="J107" s="828"/>
      <c r="K107" s="828"/>
      <c r="L107" s="495"/>
      <c r="M107" s="495"/>
      <c r="N107" s="495"/>
      <c r="O107" s="437"/>
      <c r="P107" s="931">
        <f t="shared" si="43"/>
        <v>1</v>
      </c>
      <c r="Q107" s="428"/>
      <c r="R107" s="428"/>
      <c r="S107" s="828" t="s">
        <v>562</v>
      </c>
      <c r="T107" s="828"/>
      <c r="U107" s="828"/>
      <c r="V107" s="495"/>
      <c r="W107" s="437"/>
      <c r="X107" s="930">
        <f t="shared" si="44"/>
        <v>0</v>
      </c>
      <c r="Y107" s="436"/>
      <c r="Z107" s="428"/>
      <c r="AA107" s="828"/>
      <c r="AB107" s="437"/>
      <c r="AC107" s="931">
        <f t="shared" si="45"/>
        <v>0</v>
      </c>
      <c r="AD107" s="436"/>
      <c r="AE107" s="828"/>
      <c r="AF107" s="437"/>
      <c r="AG107" s="428"/>
      <c r="AH107" s="1594"/>
      <c r="AI107" s="494" t="s">
        <v>1203</v>
      </c>
      <c r="AJ107" s="571"/>
      <c r="AK107" s="567"/>
      <c r="AL107" s="567"/>
    </row>
    <row r="108" spans="1:38" ht="15">
      <c r="A108" s="1551"/>
      <c r="B108" s="1519"/>
      <c r="C108" s="1490"/>
      <c r="D108" s="422" t="s">
        <v>992</v>
      </c>
      <c r="E108" s="914">
        <f t="shared" si="41"/>
        <v>2</v>
      </c>
      <c r="F108" s="930">
        <f t="shared" si="42"/>
        <v>0</v>
      </c>
      <c r="G108" s="436"/>
      <c r="H108" s="828"/>
      <c r="I108" s="828"/>
      <c r="J108" s="828"/>
      <c r="K108" s="828"/>
      <c r="L108" s="495"/>
      <c r="M108" s="495"/>
      <c r="N108" s="495"/>
      <c r="O108" s="437"/>
      <c r="P108" s="931">
        <f t="shared" si="43"/>
        <v>1</v>
      </c>
      <c r="Q108" s="428"/>
      <c r="R108" s="428"/>
      <c r="S108" s="828" t="s">
        <v>562</v>
      </c>
      <c r="T108" s="828"/>
      <c r="U108" s="828"/>
      <c r="V108" s="495"/>
      <c r="W108" s="437"/>
      <c r="X108" s="930">
        <f t="shared" si="44"/>
        <v>1</v>
      </c>
      <c r="Y108" s="436"/>
      <c r="Z108" s="428"/>
      <c r="AA108" s="828"/>
      <c r="AB108" s="437" t="s">
        <v>562</v>
      </c>
      <c r="AC108" s="931">
        <f t="shared" si="45"/>
        <v>0</v>
      </c>
      <c r="AD108" s="436"/>
      <c r="AE108" s="828"/>
      <c r="AF108" s="437"/>
      <c r="AG108" s="428"/>
      <c r="AH108" s="1594"/>
      <c r="AI108" s="494" t="s">
        <v>1202</v>
      </c>
      <c r="AJ108" s="571"/>
      <c r="AK108" s="567"/>
      <c r="AL108" s="567"/>
    </row>
    <row r="109" spans="1:38" ht="22.5">
      <c r="A109" s="1551"/>
      <c r="B109" s="1519"/>
      <c r="C109" s="1490"/>
      <c r="D109" s="422" t="s">
        <v>1061</v>
      </c>
      <c r="E109" s="914">
        <f t="shared" si="41"/>
        <v>1</v>
      </c>
      <c r="F109" s="930">
        <f t="shared" si="42"/>
        <v>0</v>
      </c>
      <c r="G109" s="436"/>
      <c r="H109" s="828"/>
      <c r="I109" s="828"/>
      <c r="J109" s="828"/>
      <c r="K109" s="828"/>
      <c r="L109" s="495"/>
      <c r="M109" s="495"/>
      <c r="N109" s="495"/>
      <c r="O109" s="437"/>
      <c r="P109" s="931">
        <f t="shared" si="43"/>
        <v>0</v>
      </c>
      <c r="Q109" s="428"/>
      <c r="R109" s="428"/>
      <c r="S109" s="828"/>
      <c r="T109" s="828"/>
      <c r="U109" s="828"/>
      <c r="V109" s="495"/>
      <c r="W109" s="437"/>
      <c r="X109" s="930">
        <f t="shared" si="44"/>
        <v>1</v>
      </c>
      <c r="Y109" s="436"/>
      <c r="Z109" s="428"/>
      <c r="AA109" s="828"/>
      <c r="AB109" s="437" t="s">
        <v>562</v>
      </c>
      <c r="AC109" s="931">
        <f t="shared" si="45"/>
        <v>0</v>
      </c>
      <c r="AD109" s="436"/>
      <c r="AE109" s="828"/>
      <c r="AF109" s="437"/>
      <c r="AG109" s="428"/>
      <c r="AH109" s="1594"/>
      <c r="AI109" s="494" t="s">
        <v>1201</v>
      </c>
      <c r="AJ109" s="571"/>
      <c r="AK109" s="567"/>
      <c r="AL109" s="567"/>
    </row>
    <row r="110" spans="1:38" ht="15">
      <c r="A110" s="1551"/>
      <c r="B110" s="1519"/>
      <c r="C110" s="1490"/>
      <c r="D110" s="422" t="s">
        <v>991</v>
      </c>
      <c r="E110" s="914">
        <f t="shared" si="41"/>
        <v>1</v>
      </c>
      <c r="F110" s="930">
        <f t="shared" si="42"/>
        <v>0</v>
      </c>
      <c r="G110" s="436"/>
      <c r="H110" s="828"/>
      <c r="I110" s="828"/>
      <c r="J110" s="828"/>
      <c r="K110" s="828"/>
      <c r="L110" s="495"/>
      <c r="M110" s="495"/>
      <c r="N110" s="495"/>
      <c r="O110" s="437"/>
      <c r="P110" s="931">
        <f t="shared" si="43"/>
        <v>0</v>
      </c>
      <c r="Q110" s="428"/>
      <c r="R110" s="428"/>
      <c r="S110" s="828"/>
      <c r="T110" s="828"/>
      <c r="U110" s="828"/>
      <c r="V110" s="495"/>
      <c r="W110" s="437"/>
      <c r="X110" s="930">
        <f t="shared" si="44"/>
        <v>1</v>
      </c>
      <c r="Y110" s="436"/>
      <c r="Z110" s="428"/>
      <c r="AA110" s="828"/>
      <c r="AB110" s="437" t="s">
        <v>562</v>
      </c>
      <c r="AC110" s="931">
        <f t="shared" si="45"/>
        <v>0</v>
      </c>
      <c r="AD110" s="436"/>
      <c r="AE110" s="828"/>
      <c r="AF110" s="437"/>
      <c r="AG110" s="428"/>
      <c r="AH110" s="1594"/>
      <c r="AI110" s="494" t="s">
        <v>1200</v>
      </c>
      <c r="AJ110" s="571"/>
      <c r="AK110" s="567"/>
      <c r="AL110" s="567"/>
    </row>
    <row r="111" spans="1:38" ht="22.5">
      <c r="A111" s="1551"/>
      <c r="B111" s="1519"/>
      <c r="C111" s="1491"/>
      <c r="D111" s="640" t="s">
        <v>1066</v>
      </c>
      <c r="E111" s="914">
        <f t="shared" si="41"/>
        <v>2</v>
      </c>
      <c r="F111" s="930">
        <f t="shared" si="42"/>
        <v>0</v>
      </c>
      <c r="G111" s="436"/>
      <c r="H111" s="828"/>
      <c r="I111" s="828"/>
      <c r="J111" s="828"/>
      <c r="K111" s="828"/>
      <c r="L111" s="495"/>
      <c r="M111" s="495"/>
      <c r="N111" s="495"/>
      <c r="O111" s="437"/>
      <c r="P111" s="931">
        <f t="shared" si="43"/>
        <v>1</v>
      </c>
      <c r="Q111" s="428"/>
      <c r="R111" s="428"/>
      <c r="S111" s="828" t="s">
        <v>562</v>
      </c>
      <c r="T111" s="828"/>
      <c r="U111" s="828"/>
      <c r="V111" s="495"/>
      <c r="W111" s="437"/>
      <c r="X111" s="930">
        <f t="shared" si="44"/>
        <v>1</v>
      </c>
      <c r="Y111" s="436"/>
      <c r="Z111" s="428"/>
      <c r="AA111" s="828"/>
      <c r="AB111" s="437" t="s">
        <v>562</v>
      </c>
      <c r="AC111" s="931">
        <f t="shared" si="45"/>
        <v>0</v>
      </c>
      <c r="AD111" s="436"/>
      <c r="AE111" s="828"/>
      <c r="AF111" s="437"/>
      <c r="AG111" s="428"/>
      <c r="AH111" s="1595"/>
      <c r="AI111" s="494" t="s">
        <v>1199</v>
      </c>
      <c r="AJ111" s="571"/>
      <c r="AK111" s="567"/>
      <c r="AL111" s="567"/>
    </row>
    <row r="112" spans="1:38" s="590" customFormat="1" ht="16.5" customHeight="1">
      <c r="A112" s="932" t="s">
        <v>1589</v>
      </c>
      <c r="B112" s="932"/>
      <c r="C112" s="336"/>
      <c r="D112" s="422"/>
      <c r="E112" s="933"/>
      <c r="F112" s="934"/>
      <c r="G112" s="935">
        <f>COUNTIF(G99:G111, "M")</f>
        <v>0</v>
      </c>
      <c r="H112" s="935">
        <f t="shared" ref="H112:AF112" si="46">COUNTIF(H99:H111, "M")</f>
        <v>0</v>
      </c>
      <c r="I112" s="935">
        <f t="shared" si="46"/>
        <v>0</v>
      </c>
      <c r="J112" s="935">
        <f t="shared" si="46"/>
        <v>0</v>
      </c>
      <c r="K112" s="935">
        <f t="shared" si="46"/>
        <v>0</v>
      </c>
      <c r="L112" s="935">
        <f t="shared" si="46"/>
        <v>0</v>
      </c>
      <c r="M112" s="935">
        <f t="shared" si="46"/>
        <v>0</v>
      </c>
      <c r="N112" s="935">
        <f t="shared" si="46"/>
        <v>0</v>
      </c>
      <c r="O112" s="935">
        <f t="shared" si="46"/>
        <v>0</v>
      </c>
      <c r="P112" s="935"/>
      <c r="Q112" s="935">
        <f t="shared" si="46"/>
        <v>0</v>
      </c>
      <c r="R112" s="939">
        <f t="shared" si="46"/>
        <v>0</v>
      </c>
      <c r="S112" s="935">
        <f t="shared" si="46"/>
        <v>0</v>
      </c>
      <c r="T112" s="935">
        <f t="shared" si="46"/>
        <v>0</v>
      </c>
      <c r="U112" s="935">
        <f t="shared" si="46"/>
        <v>0</v>
      </c>
      <c r="V112" s="943">
        <f t="shared" si="46"/>
        <v>0</v>
      </c>
      <c r="W112" s="931">
        <f t="shared" si="46"/>
        <v>0</v>
      </c>
      <c r="X112" s="939"/>
      <c r="Y112" s="935">
        <f t="shared" si="46"/>
        <v>0</v>
      </c>
      <c r="Z112" s="935">
        <f t="shared" si="46"/>
        <v>0</v>
      </c>
      <c r="AA112" s="935">
        <f t="shared" si="46"/>
        <v>0</v>
      </c>
      <c r="AB112" s="935">
        <f t="shared" si="46"/>
        <v>0</v>
      </c>
      <c r="AC112" s="935"/>
      <c r="AD112" s="935">
        <f t="shared" si="46"/>
        <v>0</v>
      </c>
      <c r="AE112" s="935">
        <f t="shared" si="46"/>
        <v>0</v>
      </c>
      <c r="AF112" s="935">
        <f t="shared" si="46"/>
        <v>0</v>
      </c>
      <c r="AG112" s="940"/>
      <c r="AH112" s="561"/>
      <c r="AI112" s="497"/>
      <c r="AJ112" s="941"/>
      <c r="AK112" s="406"/>
      <c r="AL112" s="406"/>
    </row>
    <row r="113" spans="1:38" s="590" customFormat="1" ht="12.75">
      <c r="A113" s="932" t="s">
        <v>1590</v>
      </c>
      <c r="B113" s="932"/>
      <c r="C113" s="942"/>
      <c r="D113" s="422"/>
      <c r="E113" s="933"/>
      <c r="F113" s="934"/>
      <c r="G113" s="935">
        <f>COUNTIF(G99:G111, "H")</f>
        <v>0</v>
      </c>
      <c r="H113" s="935">
        <f t="shared" ref="H113:AF113" si="47">COUNTIF(H99:H111, "H")</f>
        <v>0</v>
      </c>
      <c r="I113" s="935">
        <f t="shared" si="47"/>
        <v>0</v>
      </c>
      <c r="J113" s="935">
        <f t="shared" si="47"/>
        <v>0</v>
      </c>
      <c r="K113" s="935">
        <f t="shared" si="47"/>
        <v>0</v>
      </c>
      <c r="L113" s="935">
        <f t="shared" si="47"/>
        <v>0</v>
      </c>
      <c r="M113" s="935">
        <f t="shared" si="47"/>
        <v>0</v>
      </c>
      <c r="N113" s="935">
        <f t="shared" si="47"/>
        <v>0</v>
      </c>
      <c r="O113" s="935">
        <f t="shared" si="47"/>
        <v>0</v>
      </c>
      <c r="P113" s="935"/>
      <c r="Q113" s="935">
        <f t="shared" si="47"/>
        <v>0</v>
      </c>
      <c r="R113" s="939">
        <f t="shared" si="47"/>
        <v>1</v>
      </c>
      <c r="S113" s="935">
        <f t="shared" si="47"/>
        <v>8</v>
      </c>
      <c r="T113" s="935">
        <f t="shared" si="47"/>
        <v>4</v>
      </c>
      <c r="U113" s="935">
        <f t="shared" si="47"/>
        <v>4</v>
      </c>
      <c r="V113" s="943">
        <f t="shared" si="47"/>
        <v>4</v>
      </c>
      <c r="W113" s="931">
        <f t="shared" si="47"/>
        <v>0</v>
      </c>
      <c r="X113" s="939"/>
      <c r="Y113" s="935">
        <f t="shared" si="47"/>
        <v>0</v>
      </c>
      <c r="Z113" s="935">
        <f t="shared" si="47"/>
        <v>4</v>
      </c>
      <c r="AA113" s="935">
        <f t="shared" si="47"/>
        <v>0</v>
      </c>
      <c r="AB113" s="935">
        <f t="shared" si="47"/>
        <v>10</v>
      </c>
      <c r="AC113" s="935"/>
      <c r="AD113" s="935">
        <f t="shared" si="47"/>
        <v>0</v>
      </c>
      <c r="AE113" s="935">
        <f t="shared" si="47"/>
        <v>0</v>
      </c>
      <c r="AF113" s="935">
        <f t="shared" si="47"/>
        <v>0</v>
      </c>
      <c r="AG113" s="940"/>
      <c r="AH113" s="561"/>
      <c r="AI113" s="497"/>
      <c r="AJ113" s="941"/>
      <c r="AK113" s="406"/>
      <c r="AL113" s="406"/>
    </row>
    <row r="114" spans="1:38" ht="45">
      <c r="A114" s="1495" t="s">
        <v>562</v>
      </c>
      <c r="B114" s="1495" t="s">
        <v>565</v>
      </c>
      <c r="C114" s="509" t="s">
        <v>1008</v>
      </c>
      <c r="D114" s="421" t="s">
        <v>1437</v>
      </c>
      <c r="E114" s="914">
        <f t="shared" ref="E114:E131" si="48">SUM(F114+P114+X114)</f>
        <v>1</v>
      </c>
      <c r="F114" s="982">
        <f t="shared" ref="F114:F131" si="49">COUNTIF(G114:O114,"H")</f>
        <v>1</v>
      </c>
      <c r="G114" s="443"/>
      <c r="H114" s="847" t="s">
        <v>562</v>
      </c>
      <c r="I114" s="847"/>
      <c r="J114" s="847"/>
      <c r="K114" s="847"/>
      <c r="L114" s="505"/>
      <c r="M114" s="505"/>
      <c r="N114" s="505"/>
      <c r="O114" s="444"/>
      <c r="P114" s="983">
        <f t="shared" ref="P114:P131" si="50">COUNTIF(Q114:W114,"H")</f>
        <v>0</v>
      </c>
      <c r="Q114" s="432"/>
      <c r="R114" s="432"/>
      <c r="S114" s="847"/>
      <c r="T114" s="847"/>
      <c r="U114" s="847"/>
      <c r="V114" s="505"/>
      <c r="W114" s="444"/>
      <c r="X114" s="982">
        <f t="shared" ref="X114:X131" si="51">COUNTIF(Y114:AB114,"H")</f>
        <v>0</v>
      </c>
      <c r="Y114" s="443"/>
      <c r="Z114" s="432"/>
      <c r="AA114" s="847"/>
      <c r="AB114" s="444"/>
      <c r="AC114" s="983">
        <f t="shared" ref="AC114:AC131" si="52">COUNTIF(AD114:AF114,"H")</f>
        <v>0</v>
      </c>
      <c r="AD114" s="443"/>
      <c r="AE114" s="847"/>
      <c r="AF114" s="444"/>
      <c r="AG114" s="432"/>
      <c r="AH114" s="556" t="s">
        <v>1189</v>
      </c>
      <c r="AI114" s="504" t="s">
        <v>1198</v>
      </c>
      <c r="AJ114" s="571"/>
      <c r="AK114" s="567"/>
      <c r="AL114" s="567"/>
    </row>
    <row r="115" spans="1:38" ht="15">
      <c r="A115" s="1496"/>
      <c r="B115" s="1496"/>
      <c r="C115" s="1498" t="s">
        <v>1080</v>
      </c>
      <c r="D115" s="421" t="s">
        <v>1050</v>
      </c>
      <c r="E115" s="926">
        <f t="shared" si="48"/>
        <v>7</v>
      </c>
      <c r="F115" s="982">
        <f t="shared" si="49"/>
        <v>3</v>
      </c>
      <c r="G115" s="443"/>
      <c r="H115" s="847" t="s">
        <v>562</v>
      </c>
      <c r="I115" s="847" t="s">
        <v>562</v>
      </c>
      <c r="J115" s="847"/>
      <c r="K115" s="847"/>
      <c r="L115" s="505"/>
      <c r="M115" s="505"/>
      <c r="N115" s="505"/>
      <c r="O115" s="444" t="s">
        <v>562</v>
      </c>
      <c r="P115" s="983">
        <f t="shared" si="50"/>
        <v>4</v>
      </c>
      <c r="Q115" s="432"/>
      <c r="R115" s="432"/>
      <c r="S115" s="847" t="s">
        <v>562</v>
      </c>
      <c r="T115" s="847" t="s">
        <v>562</v>
      </c>
      <c r="U115" s="847" t="s">
        <v>562</v>
      </c>
      <c r="V115" s="505" t="s">
        <v>562</v>
      </c>
      <c r="W115" s="444"/>
      <c r="X115" s="982">
        <f t="shared" si="51"/>
        <v>0</v>
      </c>
      <c r="Y115" s="443"/>
      <c r="Z115" s="432"/>
      <c r="AA115" s="847"/>
      <c r="AB115" s="444"/>
      <c r="AC115" s="983">
        <f t="shared" si="52"/>
        <v>0</v>
      </c>
      <c r="AD115" s="443"/>
      <c r="AE115" s="847"/>
      <c r="AF115" s="444"/>
      <c r="AG115" s="432"/>
      <c r="AH115" s="1504" t="s">
        <v>1189</v>
      </c>
      <c r="AI115" s="1504" t="s">
        <v>1197</v>
      </c>
      <c r="AJ115" s="571"/>
      <c r="AK115" s="567"/>
      <c r="AL115" s="567"/>
    </row>
    <row r="116" spans="1:38" ht="15">
      <c r="A116" s="1496"/>
      <c r="B116" s="1496"/>
      <c r="C116" s="1499"/>
      <c r="D116" s="421" t="s">
        <v>1049</v>
      </c>
      <c r="E116" s="914">
        <f t="shared" si="48"/>
        <v>3</v>
      </c>
      <c r="F116" s="982">
        <f t="shared" si="49"/>
        <v>3</v>
      </c>
      <c r="G116" s="443"/>
      <c r="H116" s="847" t="s">
        <v>562</v>
      </c>
      <c r="I116" s="847" t="s">
        <v>562</v>
      </c>
      <c r="J116" s="847"/>
      <c r="K116" s="847"/>
      <c r="L116" s="505"/>
      <c r="M116" s="505"/>
      <c r="N116" s="505"/>
      <c r="O116" s="444" t="s">
        <v>562</v>
      </c>
      <c r="P116" s="983">
        <f t="shared" si="50"/>
        <v>0</v>
      </c>
      <c r="Q116" s="432"/>
      <c r="R116" s="432"/>
      <c r="S116" s="847"/>
      <c r="T116" s="847"/>
      <c r="U116" s="847"/>
      <c r="V116" s="505"/>
      <c r="W116" s="444"/>
      <c r="X116" s="982">
        <f t="shared" si="51"/>
        <v>0</v>
      </c>
      <c r="Y116" s="443"/>
      <c r="Z116" s="432"/>
      <c r="AA116" s="847"/>
      <c r="AB116" s="444"/>
      <c r="AC116" s="983">
        <f t="shared" si="52"/>
        <v>0</v>
      </c>
      <c r="AD116" s="443"/>
      <c r="AE116" s="847"/>
      <c r="AF116" s="444"/>
      <c r="AG116" s="432"/>
      <c r="AH116" s="1505"/>
      <c r="AI116" s="1505"/>
      <c r="AJ116" s="571"/>
      <c r="AK116" s="567"/>
      <c r="AL116" s="567"/>
    </row>
    <row r="117" spans="1:38" ht="15">
      <c r="A117" s="1496"/>
      <c r="B117" s="1496"/>
      <c r="C117" s="1499"/>
      <c r="D117" s="421" t="s">
        <v>1048</v>
      </c>
      <c r="E117" s="926">
        <f t="shared" si="48"/>
        <v>7</v>
      </c>
      <c r="F117" s="982">
        <f t="shared" si="49"/>
        <v>3</v>
      </c>
      <c r="G117" s="443"/>
      <c r="H117" s="847" t="s">
        <v>562</v>
      </c>
      <c r="I117" s="847" t="s">
        <v>562</v>
      </c>
      <c r="J117" s="847"/>
      <c r="K117" s="847"/>
      <c r="L117" s="505"/>
      <c r="M117" s="505"/>
      <c r="N117" s="505"/>
      <c r="O117" s="444" t="s">
        <v>562</v>
      </c>
      <c r="P117" s="983">
        <f t="shared" si="50"/>
        <v>4</v>
      </c>
      <c r="Q117" s="432"/>
      <c r="R117" s="432"/>
      <c r="S117" s="847" t="s">
        <v>562</v>
      </c>
      <c r="T117" s="847" t="s">
        <v>562</v>
      </c>
      <c r="U117" s="847" t="s">
        <v>562</v>
      </c>
      <c r="V117" s="505" t="s">
        <v>562</v>
      </c>
      <c r="W117" s="444"/>
      <c r="X117" s="982">
        <f t="shared" si="51"/>
        <v>0</v>
      </c>
      <c r="Y117" s="443"/>
      <c r="Z117" s="432"/>
      <c r="AA117" s="847"/>
      <c r="AB117" s="444"/>
      <c r="AC117" s="983">
        <f t="shared" si="52"/>
        <v>0</v>
      </c>
      <c r="AD117" s="443"/>
      <c r="AE117" s="847"/>
      <c r="AF117" s="444"/>
      <c r="AG117" s="432"/>
      <c r="AH117" s="1505"/>
      <c r="AI117" s="1505"/>
      <c r="AJ117" s="571"/>
      <c r="AK117" s="567"/>
      <c r="AL117" s="567"/>
    </row>
    <row r="118" spans="1:38" ht="38.25">
      <c r="A118" s="1496"/>
      <c r="B118" s="1496"/>
      <c r="C118" s="1499"/>
      <c r="D118" s="421" t="s">
        <v>1071</v>
      </c>
      <c r="E118" s="914">
        <f t="shared" si="48"/>
        <v>1</v>
      </c>
      <c r="F118" s="982">
        <f t="shared" si="49"/>
        <v>0</v>
      </c>
      <c r="G118" s="443"/>
      <c r="H118" s="847"/>
      <c r="I118" s="847"/>
      <c r="J118" s="847"/>
      <c r="K118" s="847"/>
      <c r="L118" s="505"/>
      <c r="M118" s="505"/>
      <c r="N118" s="505"/>
      <c r="O118" s="444"/>
      <c r="P118" s="983">
        <f t="shared" si="50"/>
        <v>0</v>
      </c>
      <c r="Q118" s="432"/>
      <c r="R118" s="432"/>
      <c r="S118" s="847"/>
      <c r="T118" s="847"/>
      <c r="U118" s="847"/>
      <c r="V118" s="505"/>
      <c r="W118" s="444"/>
      <c r="X118" s="982">
        <f t="shared" si="51"/>
        <v>1</v>
      </c>
      <c r="Y118" s="443"/>
      <c r="Z118" s="432" t="s">
        <v>562</v>
      </c>
      <c r="AA118" s="847"/>
      <c r="AB118" s="444"/>
      <c r="AC118" s="983">
        <f t="shared" si="52"/>
        <v>0</v>
      </c>
      <c r="AD118" s="443"/>
      <c r="AE118" s="847"/>
      <c r="AF118" s="444"/>
      <c r="AG118" s="432"/>
      <c r="AH118" s="1505"/>
      <c r="AI118" s="1505"/>
      <c r="AJ118" s="571"/>
      <c r="AK118" s="567"/>
      <c r="AL118" s="567"/>
    </row>
    <row r="119" spans="1:38" ht="15">
      <c r="A119" s="1496"/>
      <c r="B119" s="1496"/>
      <c r="C119" s="1500"/>
      <c r="D119" s="421" t="s">
        <v>1063</v>
      </c>
      <c r="E119" s="914">
        <f t="shared" si="48"/>
        <v>1</v>
      </c>
      <c r="F119" s="982">
        <f t="shared" si="49"/>
        <v>0</v>
      </c>
      <c r="G119" s="443"/>
      <c r="H119" s="847"/>
      <c r="I119" s="847"/>
      <c r="J119" s="847"/>
      <c r="K119" s="847"/>
      <c r="L119" s="505"/>
      <c r="M119" s="505"/>
      <c r="N119" s="505"/>
      <c r="O119" s="444"/>
      <c r="P119" s="983">
        <f t="shared" si="50"/>
        <v>0</v>
      </c>
      <c r="Q119" s="432"/>
      <c r="R119" s="432"/>
      <c r="S119" s="847"/>
      <c r="T119" s="847"/>
      <c r="U119" s="847"/>
      <c r="V119" s="505"/>
      <c r="W119" s="444"/>
      <c r="X119" s="982">
        <f t="shared" si="51"/>
        <v>1</v>
      </c>
      <c r="Y119" s="443"/>
      <c r="Z119" s="432"/>
      <c r="AA119" s="847"/>
      <c r="AB119" s="444" t="s">
        <v>562</v>
      </c>
      <c r="AC119" s="983">
        <f t="shared" si="52"/>
        <v>0</v>
      </c>
      <c r="AD119" s="443"/>
      <c r="AE119" s="847"/>
      <c r="AF119" s="444"/>
      <c r="AG119" s="432"/>
      <c r="AH119" s="1506"/>
      <c r="AI119" s="1506"/>
      <c r="AJ119" s="571"/>
      <c r="AK119" s="567"/>
      <c r="AL119" s="567"/>
    </row>
    <row r="120" spans="1:38" ht="33.75">
      <c r="A120" s="1496"/>
      <c r="B120" s="1496"/>
      <c r="C120" s="1495" t="s">
        <v>1438</v>
      </c>
      <c r="D120" s="984" t="s">
        <v>1347</v>
      </c>
      <c r="E120" s="914">
        <f t="shared" si="48"/>
        <v>0</v>
      </c>
      <c r="F120" s="982">
        <f t="shared" si="49"/>
        <v>0</v>
      </c>
      <c r="G120" s="443"/>
      <c r="H120" s="847"/>
      <c r="I120" s="847"/>
      <c r="J120" s="847"/>
      <c r="K120" s="847"/>
      <c r="L120" s="505"/>
      <c r="M120" s="505"/>
      <c r="N120" s="505"/>
      <c r="O120" s="444"/>
      <c r="P120" s="983">
        <f t="shared" si="50"/>
        <v>0</v>
      </c>
      <c r="Q120" s="432"/>
      <c r="R120" s="432"/>
      <c r="S120" s="847"/>
      <c r="T120" s="847"/>
      <c r="U120" s="847"/>
      <c r="V120" s="505"/>
      <c r="W120" s="444"/>
      <c r="X120" s="982">
        <f t="shared" si="51"/>
        <v>0</v>
      </c>
      <c r="Y120" s="443"/>
      <c r="Z120" s="432"/>
      <c r="AA120" s="847"/>
      <c r="AB120" s="444"/>
      <c r="AC120" s="983">
        <f t="shared" si="52"/>
        <v>0</v>
      </c>
      <c r="AD120" s="443"/>
      <c r="AE120" s="847"/>
      <c r="AF120" s="444"/>
      <c r="AG120" s="432"/>
      <c r="AH120" s="557"/>
      <c r="AI120" s="837" t="s">
        <v>1618</v>
      </c>
      <c r="AJ120" s="571"/>
      <c r="AK120" s="567"/>
      <c r="AL120" s="567"/>
    </row>
    <row r="121" spans="1:38" ht="38.25">
      <c r="A121" s="1496"/>
      <c r="B121" s="1496"/>
      <c r="C121" s="1496"/>
      <c r="D121" s="421" t="s">
        <v>1619</v>
      </c>
      <c r="E121" s="914">
        <f t="shared" si="48"/>
        <v>1</v>
      </c>
      <c r="F121" s="982">
        <f t="shared" si="49"/>
        <v>1</v>
      </c>
      <c r="G121" s="443"/>
      <c r="H121" s="847" t="s">
        <v>562</v>
      </c>
      <c r="I121" s="847"/>
      <c r="J121" s="847"/>
      <c r="K121" s="847"/>
      <c r="L121" s="505"/>
      <c r="M121" s="505"/>
      <c r="N121" s="505"/>
      <c r="O121" s="444"/>
      <c r="P121" s="983">
        <f t="shared" si="50"/>
        <v>0</v>
      </c>
      <c r="Q121" s="432"/>
      <c r="R121" s="432"/>
      <c r="S121" s="847"/>
      <c r="T121" s="847"/>
      <c r="U121" s="847"/>
      <c r="V121" s="505"/>
      <c r="W121" s="444"/>
      <c r="X121" s="982">
        <f t="shared" si="51"/>
        <v>0</v>
      </c>
      <c r="Y121" s="443"/>
      <c r="Z121" s="432"/>
      <c r="AA121" s="847"/>
      <c r="AB121" s="444"/>
      <c r="AC121" s="983">
        <f t="shared" si="52"/>
        <v>0</v>
      </c>
      <c r="AD121" s="443"/>
      <c r="AE121" s="847"/>
      <c r="AF121" s="444"/>
      <c r="AG121" s="432"/>
      <c r="AH121" s="556" t="s">
        <v>1189</v>
      </c>
      <c r="AI121" s="504" t="s">
        <v>575</v>
      </c>
      <c r="AJ121" s="571"/>
      <c r="AK121" s="567"/>
      <c r="AL121" s="567"/>
    </row>
    <row r="122" spans="1:38" ht="38.25">
      <c r="A122" s="1496"/>
      <c r="B122" s="1496"/>
      <c r="C122" s="1496"/>
      <c r="D122" s="421" t="s">
        <v>953</v>
      </c>
      <c r="E122" s="914">
        <f t="shared" si="48"/>
        <v>1</v>
      </c>
      <c r="F122" s="982">
        <f t="shared" si="49"/>
        <v>1</v>
      </c>
      <c r="G122" s="443"/>
      <c r="H122" s="847" t="s">
        <v>562</v>
      </c>
      <c r="I122" s="847"/>
      <c r="J122" s="847"/>
      <c r="K122" s="847"/>
      <c r="L122" s="505"/>
      <c r="M122" s="505"/>
      <c r="N122" s="505"/>
      <c r="O122" s="444"/>
      <c r="P122" s="983">
        <f t="shared" si="50"/>
        <v>0</v>
      </c>
      <c r="Q122" s="432"/>
      <c r="R122" s="432"/>
      <c r="S122" s="847"/>
      <c r="T122" s="847"/>
      <c r="U122" s="847"/>
      <c r="V122" s="505"/>
      <c r="W122" s="444"/>
      <c r="X122" s="982">
        <f t="shared" si="51"/>
        <v>0</v>
      </c>
      <c r="Y122" s="443"/>
      <c r="Z122" s="432"/>
      <c r="AA122" s="847"/>
      <c r="AB122" s="444"/>
      <c r="AC122" s="983">
        <f t="shared" si="52"/>
        <v>0</v>
      </c>
      <c r="AD122" s="443"/>
      <c r="AE122" s="847"/>
      <c r="AF122" s="444"/>
      <c r="AG122" s="432"/>
      <c r="AH122" s="556" t="s">
        <v>1189</v>
      </c>
      <c r="AI122" s="504" t="s">
        <v>1022</v>
      </c>
      <c r="AJ122" s="571"/>
      <c r="AK122" s="567"/>
      <c r="AL122" s="567"/>
    </row>
    <row r="123" spans="1:38" ht="51">
      <c r="A123" s="1496"/>
      <c r="B123" s="1496"/>
      <c r="C123" s="1496"/>
      <c r="D123" s="421" t="s">
        <v>1620</v>
      </c>
      <c r="E123" s="914">
        <f t="shared" si="48"/>
        <v>1</v>
      </c>
      <c r="F123" s="982">
        <f t="shared" si="49"/>
        <v>1</v>
      </c>
      <c r="G123" s="443"/>
      <c r="H123" s="847" t="s">
        <v>562</v>
      </c>
      <c r="I123" s="847"/>
      <c r="J123" s="847"/>
      <c r="K123" s="847"/>
      <c r="L123" s="505"/>
      <c r="M123" s="505"/>
      <c r="N123" s="505"/>
      <c r="O123" s="444"/>
      <c r="P123" s="983">
        <f t="shared" si="50"/>
        <v>0</v>
      </c>
      <c r="Q123" s="432"/>
      <c r="R123" s="432"/>
      <c r="S123" s="847"/>
      <c r="T123" s="847"/>
      <c r="U123" s="847"/>
      <c r="V123" s="505"/>
      <c r="W123" s="444"/>
      <c r="X123" s="982">
        <f t="shared" si="51"/>
        <v>0</v>
      </c>
      <c r="Y123" s="443"/>
      <c r="Z123" s="432"/>
      <c r="AA123" s="847"/>
      <c r="AB123" s="444"/>
      <c r="AC123" s="983">
        <f t="shared" si="52"/>
        <v>0</v>
      </c>
      <c r="AD123" s="443"/>
      <c r="AE123" s="847"/>
      <c r="AF123" s="444"/>
      <c r="AG123" s="432"/>
      <c r="AH123" s="556" t="s">
        <v>1189</v>
      </c>
      <c r="AI123" s="504" t="s">
        <v>1621</v>
      </c>
      <c r="AJ123" s="571"/>
      <c r="AK123" s="567"/>
      <c r="AL123" s="567"/>
    </row>
    <row r="124" spans="1:38" ht="45">
      <c r="A124" s="1496"/>
      <c r="B124" s="1496"/>
      <c r="C124" s="1496"/>
      <c r="D124" s="421" t="s">
        <v>1081</v>
      </c>
      <c r="E124" s="914">
        <f t="shared" si="48"/>
        <v>0</v>
      </c>
      <c r="F124" s="982">
        <f t="shared" si="49"/>
        <v>0</v>
      </c>
      <c r="G124" s="443"/>
      <c r="H124" s="847"/>
      <c r="I124" s="847"/>
      <c r="J124" s="847"/>
      <c r="K124" s="847"/>
      <c r="L124" s="505"/>
      <c r="M124" s="505"/>
      <c r="N124" s="505"/>
      <c r="O124" s="444"/>
      <c r="P124" s="983">
        <f t="shared" si="50"/>
        <v>0</v>
      </c>
      <c r="Q124" s="432"/>
      <c r="R124" s="432"/>
      <c r="S124" s="847"/>
      <c r="T124" s="847"/>
      <c r="U124" s="847"/>
      <c r="V124" s="505"/>
      <c r="W124" s="444"/>
      <c r="X124" s="982">
        <f t="shared" si="51"/>
        <v>0</v>
      </c>
      <c r="Y124" s="443"/>
      <c r="Z124" s="432"/>
      <c r="AA124" s="847"/>
      <c r="AB124" s="444"/>
      <c r="AC124" s="983">
        <f t="shared" si="52"/>
        <v>0</v>
      </c>
      <c r="AD124" s="443"/>
      <c r="AE124" s="847"/>
      <c r="AF124" s="444"/>
      <c r="AG124" s="432"/>
      <c r="AH124" s="556"/>
      <c r="AI124" s="504" t="s">
        <v>1194</v>
      </c>
      <c r="AJ124" s="571"/>
      <c r="AK124" s="567"/>
      <c r="AL124" s="567"/>
    </row>
    <row r="125" spans="1:38" ht="45">
      <c r="A125" s="1496"/>
      <c r="B125" s="1496"/>
      <c r="C125" s="1496"/>
      <c r="D125" s="421" t="s">
        <v>1082</v>
      </c>
      <c r="E125" s="914">
        <f t="shared" si="48"/>
        <v>0</v>
      </c>
      <c r="F125" s="982">
        <f t="shared" si="49"/>
        <v>0</v>
      </c>
      <c r="G125" s="443"/>
      <c r="H125" s="847"/>
      <c r="I125" s="847"/>
      <c r="J125" s="847"/>
      <c r="K125" s="847"/>
      <c r="L125" s="505"/>
      <c r="M125" s="505"/>
      <c r="N125" s="505"/>
      <c r="O125" s="444"/>
      <c r="P125" s="983">
        <f t="shared" si="50"/>
        <v>0</v>
      </c>
      <c r="Q125" s="432"/>
      <c r="R125" s="432"/>
      <c r="S125" s="847"/>
      <c r="T125" s="847"/>
      <c r="U125" s="847"/>
      <c r="V125" s="505"/>
      <c r="W125" s="444"/>
      <c r="X125" s="982">
        <f t="shared" si="51"/>
        <v>0</v>
      </c>
      <c r="Y125" s="443"/>
      <c r="Z125" s="432"/>
      <c r="AA125" s="847"/>
      <c r="AB125" s="444"/>
      <c r="AC125" s="983">
        <f t="shared" si="52"/>
        <v>0</v>
      </c>
      <c r="AD125" s="443"/>
      <c r="AE125" s="847"/>
      <c r="AF125" s="444"/>
      <c r="AG125" s="432"/>
      <c r="AH125" s="556" t="s">
        <v>1189</v>
      </c>
      <c r="AI125" s="504" t="s">
        <v>1193</v>
      </c>
      <c r="AJ125" s="571"/>
      <c r="AK125" s="567"/>
      <c r="AL125" s="567"/>
    </row>
    <row r="126" spans="1:38" ht="51">
      <c r="A126" s="1496"/>
      <c r="B126" s="1496"/>
      <c r="C126" s="1497"/>
      <c r="D126" s="421" t="s">
        <v>1083</v>
      </c>
      <c r="E126" s="914">
        <f t="shared" si="48"/>
        <v>0</v>
      </c>
      <c r="F126" s="982">
        <f t="shared" si="49"/>
        <v>0</v>
      </c>
      <c r="G126" s="443"/>
      <c r="H126" s="847"/>
      <c r="I126" s="847"/>
      <c r="J126" s="847"/>
      <c r="K126" s="847"/>
      <c r="L126" s="505"/>
      <c r="M126" s="505"/>
      <c r="N126" s="505"/>
      <c r="O126" s="444"/>
      <c r="P126" s="983">
        <f t="shared" si="50"/>
        <v>0</v>
      </c>
      <c r="Q126" s="432"/>
      <c r="R126" s="432"/>
      <c r="S126" s="847"/>
      <c r="T126" s="847"/>
      <c r="U126" s="847"/>
      <c r="V126" s="505"/>
      <c r="W126" s="444"/>
      <c r="X126" s="982">
        <f t="shared" si="51"/>
        <v>0</v>
      </c>
      <c r="Y126" s="443"/>
      <c r="Z126" s="432"/>
      <c r="AA126" s="847"/>
      <c r="AB126" s="444"/>
      <c r="AC126" s="983">
        <f t="shared" si="52"/>
        <v>0</v>
      </c>
      <c r="AD126" s="443"/>
      <c r="AE126" s="847"/>
      <c r="AF126" s="444"/>
      <c r="AG126" s="432"/>
      <c r="AH126" s="556"/>
      <c r="AI126" s="504" t="s">
        <v>1622</v>
      </c>
      <c r="AJ126" s="571"/>
      <c r="AK126" s="567"/>
      <c r="AL126" s="567"/>
    </row>
    <row r="127" spans="1:38" ht="78.75">
      <c r="A127" s="1496"/>
      <c r="B127" s="1496"/>
      <c r="C127" s="1495" t="s">
        <v>1439</v>
      </c>
      <c r="D127" s="421" t="s">
        <v>1084</v>
      </c>
      <c r="E127" s="914">
        <f t="shared" si="48"/>
        <v>2</v>
      </c>
      <c r="F127" s="982">
        <f t="shared" si="49"/>
        <v>2</v>
      </c>
      <c r="G127" s="443"/>
      <c r="H127" s="847" t="s">
        <v>562</v>
      </c>
      <c r="I127" s="847"/>
      <c r="J127" s="847" t="s">
        <v>562</v>
      </c>
      <c r="K127" s="847"/>
      <c r="L127" s="505"/>
      <c r="M127" s="505"/>
      <c r="N127" s="505"/>
      <c r="O127" s="444"/>
      <c r="P127" s="983">
        <f t="shared" si="50"/>
        <v>0</v>
      </c>
      <c r="Q127" s="432"/>
      <c r="R127" s="432"/>
      <c r="S127" s="847"/>
      <c r="T127" s="847"/>
      <c r="U127" s="847"/>
      <c r="V127" s="505"/>
      <c r="W127" s="444"/>
      <c r="X127" s="982">
        <f t="shared" si="51"/>
        <v>0</v>
      </c>
      <c r="Y127" s="443"/>
      <c r="Z127" s="432"/>
      <c r="AA127" s="847"/>
      <c r="AB127" s="444"/>
      <c r="AC127" s="983">
        <f t="shared" si="52"/>
        <v>0</v>
      </c>
      <c r="AD127" s="443"/>
      <c r="AE127" s="847"/>
      <c r="AF127" s="444"/>
      <c r="AG127" s="432"/>
      <c r="AH127" s="556"/>
      <c r="AI127" s="504" t="s">
        <v>1421</v>
      </c>
      <c r="AJ127" s="571"/>
      <c r="AK127" s="567"/>
      <c r="AL127" s="567"/>
    </row>
    <row r="128" spans="1:38" ht="38.25">
      <c r="A128" s="1496"/>
      <c r="B128" s="1496"/>
      <c r="C128" s="1496"/>
      <c r="D128" s="421" t="s">
        <v>1007</v>
      </c>
      <c r="E128" s="914">
        <f t="shared" si="48"/>
        <v>1</v>
      </c>
      <c r="F128" s="982">
        <f t="shared" si="49"/>
        <v>1</v>
      </c>
      <c r="G128" s="443"/>
      <c r="H128" s="847" t="s">
        <v>562</v>
      </c>
      <c r="I128" s="847"/>
      <c r="J128" s="847"/>
      <c r="K128" s="847"/>
      <c r="L128" s="505"/>
      <c r="M128" s="505"/>
      <c r="N128" s="505"/>
      <c r="O128" s="444"/>
      <c r="P128" s="983">
        <f t="shared" si="50"/>
        <v>0</v>
      </c>
      <c r="Q128" s="432"/>
      <c r="R128" s="432"/>
      <c r="S128" s="847"/>
      <c r="T128" s="847"/>
      <c r="U128" s="847"/>
      <c r="V128" s="505"/>
      <c r="W128" s="444"/>
      <c r="X128" s="982">
        <f t="shared" si="51"/>
        <v>0</v>
      </c>
      <c r="Y128" s="443"/>
      <c r="Z128" s="432"/>
      <c r="AA128" s="847"/>
      <c r="AB128" s="444"/>
      <c r="AC128" s="983">
        <f t="shared" si="52"/>
        <v>0</v>
      </c>
      <c r="AD128" s="443"/>
      <c r="AE128" s="847"/>
      <c r="AF128" s="444"/>
      <c r="AG128" s="432"/>
      <c r="AH128" s="556"/>
      <c r="AI128" s="504" t="s">
        <v>1422</v>
      </c>
      <c r="AJ128" s="571"/>
      <c r="AK128" s="567"/>
      <c r="AL128" s="567"/>
    </row>
    <row r="129" spans="1:38" ht="45">
      <c r="A129" s="1496"/>
      <c r="B129" s="1496"/>
      <c r="C129" s="1496"/>
      <c r="D129" s="421" t="s">
        <v>1056</v>
      </c>
      <c r="E129" s="914">
        <f t="shared" si="48"/>
        <v>0</v>
      </c>
      <c r="F129" s="982">
        <f t="shared" si="49"/>
        <v>0</v>
      </c>
      <c r="G129" s="443"/>
      <c r="H129" s="847"/>
      <c r="I129" s="847"/>
      <c r="J129" s="847"/>
      <c r="K129" s="847"/>
      <c r="L129" s="505"/>
      <c r="M129" s="505"/>
      <c r="N129" s="505"/>
      <c r="O129" s="444"/>
      <c r="P129" s="983">
        <f t="shared" si="50"/>
        <v>0</v>
      </c>
      <c r="Q129" s="432"/>
      <c r="R129" s="432"/>
      <c r="S129" s="847"/>
      <c r="T129" s="847"/>
      <c r="U129" s="847"/>
      <c r="V129" s="505"/>
      <c r="W129" s="444"/>
      <c r="X129" s="982">
        <f t="shared" si="51"/>
        <v>0</v>
      </c>
      <c r="Y129" s="443"/>
      <c r="Z129" s="432"/>
      <c r="AA129" s="847"/>
      <c r="AB129" s="444"/>
      <c r="AC129" s="983">
        <f t="shared" si="52"/>
        <v>0</v>
      </c>
      <c r="AD129" s="443"/>
      <c r="AE129" s="847"/>
      <c r="AF129" s="444"/>
      <c r="AG129" s="432"/>
      <c r="AH129" s="556" t="s">
        <v>1189</v>
      </c>
      <c r="AI129" s="504" t="s">
        <v>1195</v>
      </c>
      <c r="AJ129" s="571"/>
      <c r="AK129" s="567"/>
      <c r="AL129" s="567"/>
    </row>
    <row r="130" spans="1:38" ht="51">
      <c r="A130" s="1496"/>
      <c r="B130" s="1496"/>
      <c r="C130" s="1496"/>
      <c r="D130" s="421" t="s">
        <v>1023</v>
      </c>
      <c r="E130" s="914">
        <f t="shared" si="48"/>
        <v>2</v>
      </c>
      <c r="F130" s="982">
        <f t="shared" si="49"/>
        <v>1</v>
      </c>
      <c r="G130" s="443"/>
      <c r="H130" s="847"/>
      <c r="I130" s="847"/>
      <c r="J130" s="847" t="s">
        <v>562</v>
      </c>
      <c r="K130" s="847"/>
      <c r="L130" s="505"/>
      <c r="M130" s="505"/>
      <c r="N130" s="505"/>
      <c r="O130" s="444"/>
      <c r="P130" s="983">
        <f t="shared" si="50"/>
        <v>1</v>
      </c>
      <c r="Q130" s="432"/>
      <c r="R130" s="432" t="s">
        <v>562</v>
      </c>
      <c r="S130" s="847"/>
      <c r="T130" s="847"/>
      <c r="U130" s="847"/>
      <c r="V130" s="505"/>
      <c r="W130" s="444"/>
      <c r="X130" s="982">
        <f t="shared" si="51"/>
        <v>0</v>
      </c>
      <c r="Y130" s="443"/>
      <c r="Z130" s="432"/>
      <c r="AA130" s="847"/>
      <c r="AB130" s="444"/>
      <c r="AC130" s="983">
        <f t="shared" si="52"/>
        <v>0</v>
      </c>
      <c r="AD130" s="443"/>
      <c r="AE130" s="847"/>
      <c r="AF130" s="444"/>
      <c r="AG130" s="432"/>
      <c r="AH130" s="556" t="s">
        <v>1189</v>
      </c>
      <c r="AI130" s="504" t="s">
        <v>1190</v>
      </c>
      <c r="AJ130" s="571"/>
      <c r="AK130" s="567"/>
      <c r="AL130" s="567"/>
    </row>
    <row r="131" spans="1:38" ht="33.75">
      <c r="A131" s="1497"/>
      <c r="B131" s="1497"/>
      <c r="C131" s="1497"/>
      <c r="D131" s="421" t="s">
        <v>993</v>
      </c>
      <c r="E131" s="914">
        <f t="shared" si="48"/>
        <v>0</v>
      </c>
      <c r="F131" s="982">
        <f t="shared" si="49"/>
        <v>0</v>
      </c>
      <c r="G131" s="443"/>
      <c r="H131" s="847"/>
      <c r="I131" s="847"/>
      <c r="J131" s="847"/>
      <c r="K131" s="847"/>
      <c r="L131" s="505"/>
      <c r="M131" s="505"/>
      <c r="N131" s="505"/>
      <c r="O131" s="444"/>
      <c r="P131" s="983">
        <f t="shared" si="50"/>
        <v>0</v>
      </c>
      <c r="Q131" s="432"/>
      <c r="R131" s="432"/>
      <c r="S131" s="847"/>
      <c r="T131" s="847"/>
      <c r="U131" s="847"/>
      <c r="V131" s="505"/>
      <c r="W131" s="444"/>
      <c r="X131" s="982">
        <f t="shared" si="51"/>
        <v>0</v>
      </c>
      <c r="Y131" s="443"/>
      <c r="Z131" s="432"/>
      <c r="AA131" s="847"/>
      <c r="AB131" s="444"/>
      <c r="AC131" s="983">
        <f t="shared" si="52"/>
        <v>0</v>
      </c>
      <c r="AD131" s="443"/>
      <c r="AE131" s="847"/>
      <c r="AF131" s="444"/>
      <c r="AG131" s="432"/>
      <c r="AH131" s="556" t="s">
        <v>1189</v>
      </c>
      <c r="AI131" s="504" t="s">
        <v>1623</v>
      </c>
      <c r="AJ131" s="571"/>
      <c r="AK131" s="567"/>
      <c r="AL131" s="567"/>
    </row>
    <row r="132" spans="1:38" s="995" customFormat="1" ht="16.5" customHeight="1">
      <c r="A132" s="848" t="s">
        <v>1589</v>
      </c>
      <c r="B132" s="848"/>
      <c r="C132" s="985"/>
      <c r="D132" s="421"/>
      <c r="E132" s="933"/>
      <c r="F132" s="986"/>
      <c r="G132" s="987">
        <f>COUNTIF(G114:G131, "M")</f>
        <v>0</v>
      </c>
      <c r="H132" s="987">
        <f t="shared" ref="H132:AF132" si="53">COUNTIF(H114:H131, "M")</f>
        <v>0</v>
      </c>
      <c r="I132" s="987">
        <f t="shared" si="53"/>
        <v>0</v>
      </c>
      <c r="J132" s="987">
        <f t="shared" si="53"/>
        <v>0</v>
      </c>
      <c r="K132" s="987">
        <f t="shared" si="53"/>
        <v>0</v>
      </c>
      <c r="L132" s="987">
        <f t="shared" si="53"/>
        <v>0</v>
      </c>
      <c r="M132" s="987">
        <f t="shared" si="53"/>
        <v>0</v>
      </c>
      <c r="N132" s="987">
        <f t="shared" si="53"/>
        <v>0</v>
      </c>
      <c r="O132" s="987">
        <f t="shared" si="53"/>
        <v>0</v>
      </c>
      <c r="P132" s="987"/>
      <c r="Q132" s="987">
        <f t="shared" si="53"/>
        <v>0</v>
      </c>
      <c r="R132" s="988">
        <f t="shared" si="53"/>
        <v>0</v>
      </c>
      <c r="S132" s="987">
        <f t="shared" si="53"/>
        <v>0</v>
      </c>
      <c r="T132" s="987">
        <f t="shared" si="53"/>
        <v>0</v>
      </c>
      <c r="U132" s="987">
        <f t="shared" si="53"/>
        <v>0</v>
      </c>
      <c r="V132" s="989">
        <f t="shared" si="53"/>
        <v>0</v>
      </c>
      <c r="W132" s="983">
        <f t="shared" si="53"/>
        <v>0</v>
      </c>
      <c r="X132" s="988"/>
      <c r="Y132" s="987">
        <f t="shared" si="53"/>
        <v>0</v>
      </c>
      <c r="Z132" s="987">
        <f t="shared" si="53"/>
        <v>0</v>
      </c>
      <c r="AA132" s="987">
        <f t="shared" si="53"/>
        <v>0</v>
      </c>
      <c r="AB132" s="987">
        <f t="shared" si="53"/>
        <v>0</v>
      </c>
      <c r="AC132" s="987"/>
      <c r="AD132" s="987">
        <f t="shared" si="53"/>
        <v>0</v>
      </c>
      <c r="AE132" s="987">
        <f t="shared" si="53"/>
        <v>0</v>
      </c>
      <c r="AF132" s="987">
        <f t="shared" si="53"/>
        <v>0</v>
      </c>
      <c r="AG132" s="990"/>
      <c r="AH132" s="991"/>
      <c r="AI132" s="992"/>
      <c r="AJ132" s="993"/>
      <c r="AK132" s="994"/>
      <c r="AL132" s="994"/>
    </row>
    <row r="133" spans="1:38" s="995" customFormat="1" ht="12.75">
      <c r="A133" s="848" t="s">
        <v>1590</v>
      </c>
      <c r="B133" s="848"/>
      <c r="C133" s="996"/>
      <c r="D133" s="421"/>
      <c r="E133" s="933"/>
      <c r="F133" s="986"/>
      <c r="G133" s="987">
        <f>COUNTIF(G114:G132, "H")</f>
        <v>0</v>
      </c>
      <c r="H133" s="987">
        <f t="shared" ref="H133:AF133" si="54">COUNTIF(H114:H132, "H")</f>
        <v>9</v>
      </c>
      <c r="I133" s="987">
        <f t="shared" si="54"/>
        <v>3</v>
      </c>
      <c r="J133" s="987">
        <f t="shared" si="54"/>
        <v>2</v>
      </c>
      <c r="K133" s="987">
        <f t="shared" si="54"/>
        <v>0</v>
      </c>
      <c r="L133" s="987">
        <f t="shared" si="54"/>
        <v>0</v>
      </c>
      <c r="M133" s="987">
        <f t="shared" si="54"/>
        <v>0</v>
      </c>
      <c r="N133" s="987">
        <f t="shared" si="54"/>
        <v>0</v>
      </c>
      <c r="O133" s="987">
        <f t="shared" si="54"/>
        <v>3</v>
      </c>
      <c r="P133" s="987"/>
      <c r="Q133" s="987">
        <f t="shared" si="54"/>
        <v>0</v>
      </c>
      <c r="R133" s="988">
        <f t="shared" si="54"/>
        <v>1</v>
      </c>
      <c r="S133" s="987">
        <f t="shared" si="54"/>
        <v>2</v>
      </c>
      <c r="T133" s="987">
        <f t="shared" si="54"/>
        <v>2</v>
      </c>
      <c r="U133" s="987">
        <f t="shared" si="54"/>
        <v>2</v>
      </c>
      <c r="V133" s="989">
        <f t="shared" si="54"/>
        <v>2</v>
      </c>
      <c r="W133" s="983">
        <f t="shared" si="54"/>
        <v>0</v>
      </c>
      <c r="X133" s="988"/>
      <c r="Y133" s="987">
        <f t="shared" si="54"/>
        <v>0</v>
      </c>
      <c r="Z133" s="987">
        <f t="shared" si="54"/>
        <v>1</v>
      </c>
      <c r="AA133" s="987">
        <f t="shared" si="54"/>
        <v>0</v>
      </c>
      <c r="AB133" s="987">
        <f t="shared" si="54"/>
        <v>1</v>
      </c>
      <c r="AC133" s="987"/>
      <c r="AD133" s="987">
        <f t="shared" si="54"/>
        <v>0</v>
      </c>
      <c r="AE133" s="987">
        <f t="shared" si="54"/>
        <v>0</v>
      </c>
      <c r="AF133" s="987">
        <f t="shared" si="54"/>
        <v>0</v>
      </c>
      <c r="AG133" s="990"/>
      <c r="AH133" s="991"/>
      <c r="AI133" s="992"/>
      <c r="AJ133" s="993"/>
      <c r="AK133" s="994"/>
      <c r="AL133" s="994"/>
    </row>
    <row r="134" spans="1:38" ht="78.75">
      <c r="A134" s="1479" t="s">
        <v>587</v>
      </c>
      <c r="B134" s="1479" t="s">
        <v>573</v>
      </c>
      <c r="C134" s="1480" t="s">
        <v>1440</v>
      </c>
      <c r="D134" s="997" t="s">
        <v>1188</v>
      </c>
      <c r="E134" s="914">
        <f t="shared" ref="E134:E144" si="55">SUM(F134+P134+X134)</f>
        <v>2</v>
      </c>
      <c r="F134" s="998">
        <f t="shared" ref="F134:F144" si="56">COUNTIF(G134:O134,"H")</f>
        <v>0</v>
      </c>
      <c r="G134" s="445"/>
      <c r="H134" s="839"/>
      <c r="I134" s="839"/>
      <c r="J134" s="839"/>
      <c r="K134" s="839"/>
      <c r="L134" s="503"/>
      <c r="M134" s="503"/>
      <c r="N134" s="503"/>
      <c r="O134" s="446"/>
      <c r="P134" s="999">
        <f t="shared" ref="P134:P144" si="57">COUNTIF(Q134:W134,"H")</f>
        <v>1</v>
      </c>
      <c r="Q134" s="433"/>
      <c r="R134" s="433"/>
      <c r="S134" s="839" t="s">
        <v>562</v>
      </c>
      <c r="T134" s="839"/>
      <c r="U134" s="839"/>
      <c r="V134" s="503"/>
      <c r="W134" s="446"/>
      <c r="X134" s="998">
        <f t="shared" ref="X134:X144" si="58">COUNTIF(Y134:AB134,"H")</f>
        <v>1</v>
      </c>
      <c r="Y134" s="445"/>
      <c r="Z134" s="433" t="s">
        <v>562</v>
      </c>
      <c r="AA134" s="839"/>
      <c r="AB134" s="446"/>
      <c r="AC134" s="999">
        <f t="shared" ref="AC134:AC144" si="59">COUNTIF(AD134:AF134,"H")</f>
        <v>0</v>
      </c>
      <c r="AD134" s="445"/>
      <c r="AE134" s="839"/>
      <c r="AF134" s="446"/>
      <c r="AG134" s="433"/>
      <c r="AH134" s="558"/>
      <c r="AI134" s="502" t="s">
        <v>1187</v>
      </c>
      <c r="AJ134" s="571"/>
      <c r="AK134" s="567"/>
      <c r="AL134" s="567"/>
    </row>
    <row r="135" spans="1:38" ht="38.25">
      <c r="A135" s="1479"/>
      <c r="B135" s="1479"/>
      <c r="C135" s="1481"/>
      <c r="D135" s="997" t="s">
        <v>1060</v>
      </c>
      <c r="E135" s="914">
        <f t="shared" si="55"/>
        <v>1</v>
      </c>
      <c r="F135" s="998">
        <f t="shared" si="56"/>
        <v>0</v>
      </c>
      <c r="G135" s="445"/>
      <c r="H135" s="839"/>
      <c r="I135" s="839"/>
      <c r="J135" s="839"/>
      <c r="K135" s="839"/>
      <c r="L135" s="503"/>
      <c r="M135" s="503"/>
      <c r="N135" s="503"/>
      <c r="O135" s="446"/>
      <c r="P135" s="999">
        <f t="shared" si="57"/>
        <v>0</v>
      </c>
      <c r="Q135" s="433"/>
      <c r="R135" s="433"/>
      <c r="S135" s="839"/>
      <c r="T135" s="839"/>
      <c r="U135" s="839"/>
      <c r="V135" s="503"/>
      <c r="W135" s="446"/>
      <c r="X135" s="998">
        <f t="shared" si="58"/>
        <v>1</v>
      </c>
      <c r="Y135" s="445"/>
      <c r="Z135" s="433" t="s">
        <v>562</v>
      </c>
      <c r="AA135" s="839"/>
      <c r="AB135" s="446"/>
      <c r="AC135" s="999">
        <f t="shared" si="59"/>
        <v>0</v>
      </c>
      <c r="AD135" s="445"/>
      <c r="AE135" s="839"/>
      <c r="AF135" s="446"/>
      <c r="AG135" s="433"/>
      <c r="AH135" s="558"/>
      <c r="AI135" s="502" t="s">
        <v>1186</v>
      </c>
      <c r="AJ135" s="571"/>
      <c r="AK135" s="567"/>
      <c r="AL135" s="567"/>
    </row>
    <row r="136" spans="1:38" ht="25.5">
      <c r="A136" s="1479"/>
      <c r="B136" s="1479"/>
      <c r="C136" s="1481"/>
      <c r="D136" s="997" t="s">
        <v>1009</v>
      </c>
      <c r="E136" s="914">
        <f t="shared" si="55"/>
        <v>1</v>
      </c>
      <c r="F136" s="998">
        <f t="shared" si="56"/>
        <v>1</v>
      </c>
      <c r="G136" s="445"/>
      <c r="H136" s="839" t="s">
        <v>562</v>
      </c>
      <c r="I136" s="839"/>
      <c r="J136" s="839"/>
      <c r="K136" s="839"/>
      <c r="L136" s="503"/>
      <c r="M136" s="503"/>
      <c r="N136" s="503"/>
      <c r="O136" s="446"/>
      <c r="P136" s="999">
        <f t="shared" si="57"/>
        <v>0</v>
      </c>
      <c r="Q136" s="433"/>
      <c r="R136" s="433"/>
      <c r="S136" s="839"/>
      <c r="T136" s="839"/>
      <c r="U136" s="839"/>
      <c r="V136" s="503"/>
      <c r="W136" s="446"/>
      <c r="X136" s="998">
        <f t="shared" si="58"/>
        <v>0</v>
      </c>
      <c r="Y136" s="445"/>
      <c r="Z136" s="433"/>
      <c r="AA136" s="839"/>
      <c r="AB136" s="446"/>
      <c r="AC136" s="999">
        <f t="shared" si="59"/>
        <v>0</v>
      </c>
      <c r="AD136" s="445"/>
      <c r="AE136" s="839"/>
      <c r="AF136" s="446"/>
      <c r="AG136" s="433"/>
      <c r="AH136" s="558"/>
      <c r="AI136" s="559" t="s">
        <v>1441</v>
      </c>
      <c r="AJ136" s="571"/>
      <c r="AK136" s="567"/>
      <c r="AL136" s="567"/>
    </row>
    <row r="137" spans="1:38" ht="38.25">
      <c r="A137" s="1479"/>
      <c r="B137" s="1479"/>
      <c r="C137" s="1481"/>
      <c r="D137" s="997" t="s">
        <v>536</v>
      </c>
      <c r="E137" s="914">
        <f t="shared" si="55"/>
        <v>0</v>
      </c>
      <c r="F137" s="998">
        <f t="shared" si="56"/>
        <v>0</v>
      </c>
      <c r="G137" s="445"/>
      <c r="H137" s="839"/>
      <c r="I137" s="839"/>
      <c r="J137" s="839"/>
      <c r="K137" s="839"/>
      <c r="L137" s="503"/>
      <c r="M137" s="503"/>
      <c r="N137" s="503"/>
      <c r="O137" s="446"/>
      <c r="P137" s="999">
        <f t="shared" si="57"/>
        <v>0</v>
      </c>
      <c r="Q137" s="433"/>
      <c r="R137" s="433"/>
      <c r="S137" s="839"/>
      <c r="T137" s="839"/>
      <c r="U137" s="839"/>
      <c r="V137" s="503"/>
      <c r="W137" s="446"/>
      <c r="X137" s="998">
        <f t="shared" si="58"/>
        <v>0</v>
      </c>
      <c r="Y137" s="445"/>
      <c r="Z137" s="433"/>
      <c r="AA137" s="839"/>
      <c r="AB137" s="446"/>
      <c r="AC137" s="999">
        <f t="shared" si="59"/>
        <v>0</v>
      </c>
      <c r="AD137" s="445"/>
      <c r="AE137" s="839"/>
      <c r="AF137" s="446"/>
      <c r="AG137" s="433"/>
      <c r="AH137" s="558"/>
      <c r="AI137" s="547" t="s">
        <v>1185</v>
      </c>
      <c r="AJ137" s="571"/>
      <c r="AK137" s="567"/>
      <c r="AL137" s="567"/>
    </row>
    <row r="138" spans="1:38" ht="25.5">
      <c r="A138" s="1479"/>
      <c r="B138" s="1479"/>
      <c r="C138" s="1481"/>
      <c r="D138" s="997" t="s">
        <v>1029</v>
      </c>
      <c r="E138" s="914">
        <f t="shared" si="55"/>
        <v>0</v>
      </c>
      <c r="F138" s="998">
        <f t="shared" si="56"/>
        <v>0</v>
      </c>
      <c r="G138" s="445"/>
      <c r="H138" s="839"/>
      <c r="I138" s="839"/>
      <c r="J138" s="839"/>
      <c r="K138" s="839"/>
      <c r="L138" s="503"/>
      <c r="M138" s="503"/>
      <c r="N138" s="503"/>
      <c r="O138" s="446"/>
      <c r="P138" s="999">
        <f t="shared" si="57"/>
        <v>0</v>
      </c>
      <c r="Q138" s="433"/>
      <c r="R138" s="433"/>
      <c r="S138" s="839"/>
      <c r="T138" s="839"/>
      <c r="U138" s="839"/>
      <c r="V138" s="503"/>
      <c r="W138" s="446"/>
      <c r="X138" s="998">
        <f t="shared" si="58"/>
        <v>0</v>
      </c>
      <c r="Y138" s="445"/>
      <c r="Z138" s="433"/>
      <c r="AA138" s="839"/>
      <c r="AB138" s="446"/>
      <c r="AC138" s="999">
        <f t="shared" si="59"/>
        <v>0</v>
      </c>
      <c r="AD138" s="445"/>
      <c r="AE138" s="839"/>
      <c r="AF138" s="446"/>
      <c r="AG138" s="433"/>
      <c r="AH138" s="558"/>
      <c r="AI138" s="1483" t="s">
        <v>1624</v>
      </c>
      <c r="AJ138" s="571"/>
      <c r="AK138" s="567"/>
      <c r="AL138" s="567"/>
    </row>
    <row r="139" spans="1:38" ht="15">
      <c r="A139" s="1479"/>
      <c r="B139" s="1479"/>
      <c r="C139" s="1481"/>
      <c r="D139" s="997" t="s">
        <v>1030</v>
      </c>
      <c r="E139" s="914">
        <f t="shared" si="55"/>
        <v>0</v>
      </c>
      <c r="F139" s="998">
        <f t="shared" si="56"/>
        <v>0</v>
      </c>
      <c r="G139" s="445"/>
      <c r="H139" s="839"/>
      <c r="I139" s="839"/>
      <c r="J139" s="839"/>
      <c r="K139" s="839"/>
      <c r="L139" s="503"/>
      <c r="M139" s="503"/>
      <c r="N139" s="503"/>
      <c r="O139" s="446"/>
      <c r="P139" s="999">
        <f t="shared" si="57"/>
        <v>0</v>
      </c>
      <c r="Q139" s="433"/>
      <c r="R139" s="433"/>
      <c r="S139" s="839"/>
      <c r="T139" s="839"/>
      <c r="U139" s="839"/>
      <c r="V139" s="503"/>
      <c r="W139" s="446"/>
      <c r="X139" s="998">
        <f t="shared" si="58"/>
        <v>0</v>
      </c>
      <c r="Y139" s="445"/>
      <c r="Z139" s="433"/>
      <c r="AA139" s="839"/>
      <c r="AB139" s="446"/>
      <c r="AC139" s="999">
        <f t="shared" si="59"/>
        <v>0</v>
      </c>
      <c r="AD139" s="445"/>
      <c r="AE139" s="839"/>
      <c r="AF139" s="446"/>
      <c r="AG139" s="433"/>
      <c r="AH139" s="558"/>
      <c r="AI139" s="1484"/>
      <c r="AJ139" s="571"/>
      <c r="AK139" s="567"/>
      <c r="AL139" s="567"/>
    </row>
    <row r="140" spans="1:38" ht="25.5">
      <c r="A140" s="1479"/>
      <c r="B140" s="1479"/>
      <c r="C140" s="1481"/>
      <c r="D140" s="997" t="s">
        <v>1031</v>
      </c>
      <c r="E140" s="914">
        <f t="shared" si="55"/>
        <v>0</v>
      </c>
      <c r="F140" s="998">
        <f t="shared" si="56"/>
        <v>0</v>
      </c>
      <c r="G140" s="445"/>
      <c r="H140" s="839"/>
      <c r="I140" s="839"/>
      <c r="J140" s="839"/>
      <c r="K140" s="839"/>
      <c r="L140" s="503"/>
      <c r="M140" s="503"/>
      <c r="N140" s="503"/>
      <c r="O140" s="446"/>
      <c r="P140" s="999">
        <f t="shared" si="57"/>
        <v>0</v>
      </c>
      <c r="Q140" s="433"/>
      <c r="R140" s="433"/>
      <c r="S140" s="839"/>
      <c r="T140" s="839"/>
      <c r="U140" s="839"/>
      <c r="V140" s="503"/>
      <c r="W140" s="446"/>
      <c r="X140" s="998">
        <f t="shared" si="58"/>
        <v>0</v>
      </c>
      <c r="Y140" s="445"/>
      <c r="Z140" s="433"/>
      <c r="AA140" s="839"/>
      <c r="AB140" s="446"/>
      <c r="AC140" s="999">
        <f t="shared" si="59"/>
        <v>0</v>
      </c>
      <c r="AD140" s="445"/>
      <c r="AE140" s="839"/>
      <c r="AF140" s="446"/>
      <c r="AG140" s="433"/>
      <c r="AH140" s="558"/>
      <c r="AI140" s="547" t="s">
        <v>1183</v>
      </c>
      <c r="AJ140" s="571"/>
      <c r="AK140" s="567"/>
      <c r="AL140" s="567"/>
    </row>
    <row r="141" spans="1:38" ht="25.5">
      <c r="A141" s="1479"/>
      <c r="B141" s="1479"/>
      <c r="C141" s="1481"/>
      <c r="D141" s="997" t="s">
        <v>994</v>
      </c>
      <c r="E141" s="914">
        <f t="shared" si="55"/>
        <v>2</v>
      </c>
      <c r="F141" s="998">
        <f t="shared" si="56"/>
        <v>2</v>
      </c>
      <c r="G141" s="445"/>
      <c r="H141" s="839" t="s">
        <v>562</v>
      </c>
      <c r="I141" s="839"/>
      <c r="J141" s="839" t="s">
        <v>562</v>
      </c>
      <c r="K141" s="839"/>
      <c r="L141" s="503"/>
      <c r="M141" s="503"/>
      <c r="N141" s="503"/>
      <c r="O141" s="446"/>
      <c r="P141" s="999">
        <f t="shared" si="57"/>
        <v>0</v>
      </c>
      <c r="Q141" s="433"/>
      <c r="R141" s="433"/>
      <c r="S141" s="839"/>
      <c r="T141" s="839"/>
      <c r="U141" s="839"/>
      <c r="V141" s="503"/>
      <c r="W141" s="446"/>
      <c r="X141" s="998">
        <f t="shared" si="58"/>
        <v>0</v>
      </c>
      <c r="Y141" s="445"/>
      <c r="Z141" s="433"/>
      <c r="AA141" s="839"/>
      <c r="AB141" s="446"/>
      <c r="AC141" s="999">
        <f t="shared" si="59"/>
        <v>0</v>
      </c>
      <c r="AD141" s="445"/>
      <c r="AE141" s="839"/>
      <c r="AF141" s="446"/>
      <c r="AG141" s="433"/>
      <c r="AH141" s="558"/>
      <c r="AI141" s="502" t="s">
        <v>653</v>
      </c>
      <c r="AJ141" s="571"/>
      <c r="AK141" s="567"/>
      <c r="AL141" s="567"/>
    </row>
    <row r="142" spans="1:38" ht="22.5">
      <c r="A142" s="1479"/>
      <c r="B142" s="1479"/>
      <c r="C142" s="1481"/>
      <c r="D142" s="997" t="s">
        <v>1342</v>
      </c>
      <c r="E142" s="914">
        <f t="shared" si="55"/>
        <v>0</v>
      </c>
      <c r="F142" s="998">
        <f t="shared" si="56"/>
        <v>0</v>
      </c>
      <c r="G142" s="445"/>
      <c r="H142" s="839"/>
      <c r="I142" s="839"/>
      <c r="J142" s="839"/>
      <c r="K142" s="839"/>
      <c r="L142" s="503"/>
      <c r="M142" s="503"/>
      <c r="N142" s="503"/>
      <c r="O142" s="446"/>
      <c r="P142" s="999">
        <f t="shared" si="57"/>
        <v>0</v>
      </c>
      <c r="Q142" s="433"/>
      <c r="R142" s="433"/>
      <c r="S142" s="839"/>
      <c r="T142" s="839"/>
      <c r="U142" s="839"/>
      <c r="V142" s="503"/>
      <c r="W142" s="446"/>
      <c r="X142" s="998">
        <f t="shared" si="58"/>
        <v>0</v>
      </c>
      <c r="Y142" s="445"/>
      <c r="Z142" s="433"/>
      <c r="AA142" s="839"/>
      <c r="AB142" s="446"/>
      <c r="AC142" s="999">
        <f t="shared" si="59"/>
        <v>0</v>
      </c>
      <c r="AD142" s="445"/>
      <c r="AE142" s="839"/>
      <c r="AF142" s="446"/>
      <c r="AG142" s="433"/>
      <c r="AH142" s="558"/>
      <c r="AI142" s="502" t="s">
        <v>1343</v>
      </c>
      <c r="AJ142" s="571"/>
      <c r="AK142" s="567"/>
      <c r="AL142" s="567"/>
    </row>
    <row r="143" spans="1:38" ht="45">
      <c r="A143" s="1479"/>
      <c r="B143" s="1479"/>
      <c r="C143" s="1481"/>
      <c r="D143" s="997" t="s">
        <v>1463</v>
      </c>
      <c r="E143" s="914">
        <f t="shared" si="55"/>
        <v>0</v>
      </c>
      <c r="F143" s="998">
        <f t="shared" si="56"/>
        <v>0</v>
      </c>
      <c r="G143" s="445"/>
      <c r="H143" s="839"/>
      <c r="I143" s="839"/>
      <c r="J143" s="839"/>
      <c r="K143" s="839"/>
      <c r="L143" s="503"/>
      <c r="M143" s="503"/>
      <c r="N143" s="503"/>
      <c r="O143" s="446"/>
      <c r="P143" s="999">
        <f t="shared" si="57"/>
        <v>0</v>
      </c>
      <c r="Q143" s="433"/>
      <c r="R143" s="433"/>
      <c r="S143" s="839"/>
      <c r="T143" s="839"/>
      <c r="U143" s="839"/>
      <c r="V143" s="503"/>
      <c r="W143" s="446"/>
      <c r="X143" s="998">
        <f t="shared" si="58"/>
        <v>0</v>
      </c>
      <c r="Y143" s="445"/>
      <c r="Z143" s="433"/>
      <c r="AA143" s="839"/>
      <c r="AB143" s="446"/>
      <c r="AC143" s="999">
        <f t="shared" si="59"/>
        <v>0</v>
      </c>
      <c r="AD143" s="445"/>
      <c r="AE143" s="839"/>
      <c r="AF143" s="446"/>
      <c r="AG143" s="433"/>
      <c r="AH143" s="558"/>
      <c r="AI143" s="502" t="s">
        <v>1464</v>
      </c>
      <c r="AJ143" s="571"/>
      <c r="AK143" s="567"/>
      <c r="AL143" s="567"/>
    </row>
    <row r="144" spans="1:38" ht="38.25">
      <c r="A144" s="1479"/>
      <c r="B144" s="1479"/>
      <c r="C144" s="1482"/>
      <c r="D144" s="997" t="s">
        <v>964</v>
      </c>
      <c r="E144" s="926">
        <f t="shared" si="55"/>
        <v>5</v>
      </c>
      <c r="F144" s="998">
        <f t="shared" si="56"/>
        <v>2</v>
      </c>
      <c r="G144" s="445"/>
      <c r="H144" s="839" t="s">
        <v>562</v>
      </c>
      <c r="I144" s="839" t="s">
        <v>562</v>
      </c>
      <c r="J144" s="839"/>
      <c r="K144" s="839"/>
      <c r="L144" s="503"/>
      <c r="M144" s="503"/>
      <c r="N144" s="503"/>
      <c r="O144" s="446"/>
      <c r="P144" s="999">
        <f t="shared" si="57"/>
        <v>2</v>
      </c>
      <c r="Q144" s="433"/>
      <c r="R144" s="433" t="s">
        <v>562</v>
      </c>
      <c r="S144" s="839" t="s">
        <v>562</v>
      </c>
      <c r="T144" s="839"/>
      <c r="U144" s="839"/>
      <c r="V144" s="503"/>
      <c r="W144" s="446"/>
      <c r="X144" s="998">
        <f t="shared" si="58"/>
        <v>1</v>
      </c>
      <c r="Y144" s="445"/>
      <c r="Z144" s="433" t="s">
        <v>562</v>
      </c>
      <c r="AA144" s="839"/>
      <c r="AB144" s="446"/>
      <c r="AC144" s="999">
        <f t="shared" si="59"/>
        <v>0</v>
      </c>
      <c r="AD144" s="445"/>
      <c r="AE144" s="839"/>
      <c r="AF144" s="446"/>
      <c r="AG144" s="433"/>
      <c r="AH144" s="558"/>
      <c r="AI144" s="502" t="s">
        <v>1625</v>
      </c>
      <c r="AJ144" s="571"/>
      <c r="AK144" s="567"/>
      <c r="AL144" s="567"/>
    </row>
    <row r="145" spans="1:38" s="1010" customFormat="1" ht="16.5" customHeight="1">
      <c r="A145" s="1000" t="s">
        <v>1589</v>
      </c>
      <c r="B145" s="1000"/>
      <c r="C145" s="1001"/>
      <c r="D145" s="997"/>
      <c r="E145" s="933"/>
      <c r="F145" s="1002"/>
      <c r="G145" s="1003">
        <f>COUNTIF(G134:G144, "M")</f>
        <v>0</v>
      </c>
      <c r="H145" s="1003">
        <f t="shared" ref="H145:AF145" si="60">COUNTIF(H134:H144, "M")</f>
        <v>0</v>
      </c>
      <c r="I145" s="1003">
        <f t="shared" si="60"/>
        <v>0</v>
      </c>
      <c r="J145" s="1003">
        <f t="shared" si="60"/>
        <v>0</v>
      </c>
      <c r="K145" s="1003">
        <f t="shared" si="60"/>
        <v>0</v>
      </c>
      <c r="L145" s="1003">
        <f t="shared" si="60"/>
        <v>0</v>
      </c>
      <c r="M145" s="1003">
        <f t="shared" si="60"/>
        <v>0</v>
      </c>
      <c r="N145" s="1003">
        <f t="shared" si="60"/>
        <v>0</v>
      </c>
      <c r="O145" s="1003">
        <f t="shared" si="60"/>
        <v>0</v>
      </c>
      <c r="P145" s="1003"/>
      <c r="Q145" s="1003">
        <f t="shared" si="60"/>
        <v>0</v>
      </c>
      <c r="R145" s="1004">
        <f t="shared" si="60"/>
        <v>0</v>
      </c>
      <c r="S145" s="1003">
        <f t="shared" si="60"/>
        <v>0</v>
      </c>
      <c r="T145" s="1003">
        <f t="shared" si="60"/>
        <v>0</v>
      </c>
      <c r="U145" s="1003">
        <f t="shared" si="60"/>
        <v>0</v>
      </c>
      <c r="V145" s="1005">
        <f t="shared" si="60"/>
        <v>0</v>
      </c>
      <c r="W145" s="999">
        <f t="shared" si="60"/>
        <v>0</v>
      </c>
      <c r="X145" s="1004"/>
      <c r="Y145" s="1003">
        <f t="shared" si="60"/>
        <v>0</v>
      </c>
      <c r="Z145" s="1003">
        <f t="shared" si="60"/>
        <v>0</v>
      </c>
      <c r="AA145" s="1003">
        <f t="shared" si="60"/>
        <v>0</v>
      </c>
      <c r="AB145" s="1003">
        <f t="shared" si="60"/>
        <v>0</v>
      </c>
      <c r="AC145" s="1003"/>
      <c r="AD145" s="1003">
        <f t="shared" si="60"/>
        <v>0</v>
      </c>
      <c r="AE145" s="1003">
        <f t="shared" si="60"/>
        <v>0</v>
      </c>
      <c r="AF145" s="1003">
        <f t="shared" si="60"/>
        <v>0</v>
      </c>
      <c r="AG145" s="1006"/>
      <c r="AH145" s="1007"/>
      <c r="AI145" s="547"/>
      <c r="AJ145" s="1008"/>
      <c r="AK145" s="1009"/>
      <c r="AL145" s="1009"/>
    </row>
    <row r="146" spans="1:38" s="1010" customFormat="1" ht="12.75">
      <c r="A146" s="1000" t="s">
        <v>1590</v>
      </c>
      <c r="B146" s="1000"/>
      <c r="C146" s="1011"/>
      <c r="D146" s="997"/>
      <c r="E146" s="933"/>
      <c r="F146" s="1002"/>
      <c r="G146" s="1003">
        <f>COUNTIF(G134:G145, "H")</f>
        <v>0</v>
      </c>
      <c r="H146" s="1003">
        <f t="shared" ref="H146:AF146" si="61">COUNTIF(H134:H145, "H")</f>
        <v>3</v>
      </c>
      <c r="I146" s="1003">
        <f t="shared" si="61"/>
        <v>1</v>
      </c>
      <c r="J146" s="1003">
        <f t="shared" si="61"/>
        <v>1</v>
      </c>
      <c r="K146" s="1003">
        <f t="shared" si="61"/>
        <v>0</v>
      </c>
      <c r="L146" s="1003">
        <f t="shared" si="61"/>
        <v>0</v>
      </c>
      <c r="M146" s="1003">
        <f t="shared" si="61"/>
        <v>0</v>
      </c>
      <c r="N146" s="1003">
        <f t="shared" si="61"/>
        <v>0</v>
      </c>
      <c r="O146" s="1003">
        <f t="shared" si="61"/>
        <v>0</v>
      </c>
      <c r="P146" s="1003"/>
      <c r="Q146" s="1003">
        <f t="shared" si="61"/>
        <v>0</v>
      </c>
      <c r="R146" s="1004">
        <f t="shared" si="61"/>
        <v>1</v>
      </c>
      <c r="S146" s="1003">
        <f t="shared" si="61"/>
        <v>2</v>
      </c>
      <c r="T146" s="1003">
        <f t="shared" si="61"/>
        <v>0</v>
      </c>
      <c r="U146" s="1003">
        <f t="shared" si="61"/>
        <v>0</v>
      </c>
      <c r="V146" s="1005">
        <f t="shared" si="61"/>
        <v>0</v>
      </c>
      <c r="W146" s="999">
        <f t="shared" si="61"/>
        <v>0</v>
      </c>
      <c r="X146" s="1004"/>
      <c r="Y146" s="1003">
        <f t="shared" si="61"/>
        <v>0</v>
      </c>
      <c r="Z146" s="1003">
        <f>COUNTIF(Z134:Z145, "H")</f>
        <v>3</v>
      </c>
      <c r="AA146" s="1003">
        <f t="shared" si="61"/>
        <v>0</v>
      </c>
      <c r="AB146" s="1003">
        <f t="shared" si="61"/>
        <v>0</v>
      </c>
      <c r="AC146" s="1003"/>
      <c r="AD146" s="1003">
        <f t="shared" si="61"/>
        <v>0</v>
      </c>
      <c r="AE146" s="1003">
        <f t="shared" si="61"/>
        <v>0</v>
      </c>
      <c r="AF146" s="1003">
        <f t="shared" si="61"/>
        <v>0</v>
      </c>
      <c r="AG146" s="1006"/>
      <c r="AH146" s="1007"/>
      <c r="AI146" s="547"/>
      <c r="AJ146" s="1008"/>
      <c r="AK146" s="1009"/>
      <c r="AL146" s="1009"/>
    </row>
    <row r="147" spans="1:38" ht="38.25">
      <c r="A147" s="1485" t="s">
        <v>562</v>
      </c>
      <c r="B147" s="1485" t="s">
        <v>995</v>
      </c>
      <c r="C147" s="331" t="s">
        <v>1626</v>
      </c>
      <c r="D147" s="425"/>
      <c r="E147" s="914">
        <f t="shared" ref="E147:E149" si="62">SUM(F147+P147+X147)</f>
        <v>0</v>
      </c>
      <c r="F147" s="944">
        <f t="shared" ref="F147:F149" si="63">COUNTIF(G147:O147,"H")</f>
        <v>0</v>
      </c>
      <c r="G147" s="438"/>
      <c r="H147" s="838"/>
      <c r="I147" s="838"/>
      <c r="J147" s="838"/>
      <c r="K147" s="838"/>
      <c r="L147" s="501"/>
      <c r="M147" s="501"/>
      <c r="N147" s="501"/>
      <c r="O147" s="439"/>
      <c r="P147" s="945">
        <f t="shared" ref="P147:P149" si="64">COUNTIF(Q147:W147,"H")</f>
        <v>0</v>
      </c>
      <c r="Q147" s="429"/>
      <c r="R147" s="429"/>
      <c r="S147" s="838"/>
      <c r="T147" s="838"/>
      <c r="U147" s="838"/>
      <c r="V147" s="501"/>
      <c r="W147" s="439"/>
      <c r="X147" s="944">
        <f t="shared" ref="X147:X149" si="65">COUNTIF(Y147:AB147,"H")</f>
        <v>0</v>
      </c>
      <c r="Y147" s="438"/>
      <c r="Z147" s="429"/>
      <c r="AA147" s="838"/>
      <c r="AB147" s="439"/>
      <c r="AC147" s="945">
        <f t="shared" ref="AC147:AC149" si="66">COUNTIF(AD147:AF147,"H")</f>
        <v>0</v>
      </c>
      <c r="AD147" s="438"/>
      <c r="AE147" s="838"/>
      <c r="AF147" s="439"/>
      <c r="AG147" s="429"/>
      <c r="AH147" s="553"/>
      <c r="AI147" s="500" t="s">
        <v>1627</v>
      </c>
      <c r="AJ147" s="571"/>
      <c r="AK147" s="567"/>
      <c r="AL147" s="567"/>
    </row>
    <row r="148" spans="1:38" ht="25.5">
      <c r="A148" s="1485"/>
      <c r="B148" s="1485"/>
      <c r="C148" s="331" t="s">
        <v>996</v>
      </c>
      <c r="D148" s="425"/>
      <c r="E148" s="914">
        <f t="shared" si="62"/>
        <v>0</v>
      </c>
      <c r="F148" s="944">
        <f t="shared" si="63"/>
        <v>0</v>
      </c>
      <c r="G148" s="438"/>
      <c r="H148" s="838"/>
      <c r="I148" s="838"/>
      <c r="J148" s="838"/>
      <c r="K148" s="838"/>
      <c r="L148" s="501"/>
      <c r="M148" s="501"/>
      <c r="N148" s="501"/>
      <c r="O148" s="439"/>
      <c r="P148" s="945">
        <f t="shared" si="64"/>
        <v>0</v>
      </c>
      <c r="Q148" s="429"/>
      <c r="R148" s="429"/>
      <c r="S148" s="838"/>
      <c r="T148" s="838"/>
      <c r="U148" s="838"/>
      <c r="V148" s="501"/>
      <c r="W148" s="439"/>
      <c r="X148" s="944">
        <f t="shared" si="65"/>
        <v>0</v>
      </c>
      <c r="Y148" s="438"/>
      <c r="Z148" s="429"/>
      <c r="AA148" s="838"/>
      <c r="AB148" s="439"/>
      <c r="AC148" s="945">
        <f t="shared" si="66"/>
        <v>0</v>
      </c>
      <c r="AD148" s="438"/>
      <c r="AE148" s="838"/>
      <c r="AF148" s="439"/>
      <c r="AG148" s="429"/>
      <c r="AH148" s="553"/>
      <c r="AI148" s="500" t="s">
        <v>1181</v>
      </c>
      <c r="AJ148" s="571"/>
      <c r="AK148" s="567"/>
      <c r="AL148" s="567"/>
    </row>
    <row r="149" spans="1:38" ht="22.5">
      <c r="A149" s="1485"/>
      <c r="B149" s="1485"/>
      <c r="C149" s="338" t="s">
        <v>868</v>
      </c>
      <c r="D149" s="426"/>
      <c r="E149" s="914">
        <f t="shared" si="62"/>
        <v>0</v>
      </c>
      <c r="F149" s="944">
        <f t="shared" si="63"/>
        <v>0</v>
      </c>
      <c r="G149" s="447"/>
      <c r="H149" s="407"/>
      <c r="I149" s="407"/>
      <c r="J149" s="407"/>
      <c r="K149" s="407"/>
      <c r="L149" s="499"/>
      <c r="M149" s="499"/>
      <c r="N149" s="499"/>
      <c r="O149" s="448"/>
      <c r="P149" s="945">
        <f t="shared" si="64"/>
        <v>0</v>
      </c>
      <c r="Q149" s="434"/>
      <c r="R149" s="434"/>
      <c r="S149" s="407"/>
      <c r="T149" s="407"/>
      <c r="U149" s="407"/>
      <c r="V149" s="499"/>
      <c r="W149" s="448"/>
      <c r="X149" s="944">
        <f t="shared" si="65"/>
        <v>0</v>
      </c>
      <c r="Y149" s="447"/>
      <c r="Z149" s="434"/>
      <c r="AA149" s="407"/>
      <c r="AB149" s="448"/>
      <c r="AC149" s="945">
        <f t="shared" si="66"/>
        <v>0</v>
      </c>
      <c r="AD149" s="447"/>
      <c r="AE149" s="407"/>
      <c r="AF149" s="448"/>
      <c r="AG149" s="434"/>
      <c r="AH149" s="560"/>
      <c r="AI149" s="546" t="s">
        <v>1180</v>
      </c>
      <c r="AJ149" s="571"/>
      <c r="AK149" s="567"/>
      <c r="AL149" s="567"/>
    </row>
    <row r="150" spans="1:38" s="953" customFormat="1" ht="16.5" customHeight="1">
      <c r="A150" s="946" t="s">
        <v>1589</v>
      </c>
      <c r="B150" s="946"/>
      <c r="C150" s="338"/>
      <c r="D150" s="425"/>
      <c r="E150" s="933"/>
      <c r="F150" s="947"/>
      <c r="G150" s="948">
        <f>COUNTIF(G147:G149, "M")</f>
        <v>0</v>
      </c>
      <c r="H150" s="948">
        <f t="shared" ref="H150:AF150" si="67">COUNTIF(H147:H149, "M")</f>
        <v>0</v>
      </c>
      <c r="I150" s="948">
        <f t="shared" si="67"/>
        <v>0</v>
      </c>
      <c r="J150" s="948">
        <f t="shared" si="67"/>
        <v>0</v>
      </c>
      <c r="K150" s="948">
        <f t="shared" si="67"/>
        <v>0</v>
      </c>
      <c r="L150" s="948">
        <f t="shared" si="67"/>
        <v>0</v>
      </c>
      <c r="M150" s="948">
        <f t="shared" si="67"/>
        <v>0</v>
      </c>
      <c r="N150" s="948">
        <f t="shared" si="67"/>
        <v>0</v>
      </c>
      <c r="O150" s="948">
        <f t="shared" si="67"/>
        <v>0</v>
      </c>
      <c r="P150" s="948"/>
      <c r="Q150" s="948">
        <f t="shared" si="67"/>
        <v>0</v>
      </c>
      <c r="R150" s="949">
        <f t="shared" si="67"/>
        <v>0</v>
      </c>
      <c r="S150" s="948">
        <f t="shared" si="67"/>
        <v>0</v>
      </c>
      <c r="T150" s="948">
        <f t="shared" si="67"/>
        <v>0</v>
      </c>
      <c r="U150" s="948">
        <f t="shared" si="67"/>
        <v>0</v>
      </c>
      <c r="V150" s="950">
        <f t="shared" si="67"/>
        <v>0</v>
      </c>
      <c r="W150" s="945">
        <f t="shared" si="67"/>
        <v>0</v>
      </c>
      <c r="X150" s="949"/>
      <c r="Y150" s="948">
        <f t="shared" si="67"/>
        <v>0</v>
      </c>
      <c r="Z150" s="948">
        <f t="shared" si="67"/>
        <v>0</v>
      </c>
      <c r="AA150" s="948">
        <f t="shared" si="67"/>
        <v>0</v>
      </c>
      <c r="AB150" s="948">
        <f t="shared" si="67"/>
        <v>0</v>
      </c>
      <c r="AC150" s="948"/>
      <c r="AD150" s="948">
        <f t="shared" si="67"/>
        <v>0</v>
      </c>
      <c r="AE150" s="948">
        <f t="shared" si="67"/>
        <v>0</v>
      </c>
      <c r="AF150" s="948">
        <f t="shared" si="67"/>
        <v>0</v>
      </c>
      <c r="AG150" s="951"/>
      <c r="AH150" s="560"/>
      <c r="AI150" s="546"/>
      <c r="AJ150" s="952"/>
      <c r="AK150" s="568"/>
      <c r="AL150" s="568"/>
    </row>
    <row r="151" spans="1:38" s="953" customFormat="1" ht="12.75">
      <c r="A151" s="946" t="s">
        <v>1590</v>
      </c>
      <c r="B151" s="946"/>
      <c r="C151" s="954"/>
      <c r="D151" s="425"/>
      <c r="E151" s="933"/>
      <c r="F151" s="947"/>
      <c r="G151" s="948">
        <f>COUNTIF(G147:G149, "H")</f>
        <v>0</v>
      </c>
      <c r="H151" s="948">
        <f t="shared" ref="H151:AF151" si="68">COUNTIF(H147:H149, "H")</f>
        <v>0</v>
      </c>
      <c r="I151" s="948">
        <f t="shared" si="68"/>
        <v>0</v>
      </c>
      <c r="J151" s="948">
        <f t="shared" si="68"/>
        <v>0</v>
      </c>
      <c r="K151" s="948">
        <f t="shared" si="68"/>
        <v>0</v>
      </c>
      <c r="L151" s="948">
        <f t="shared" si="68"/>
        <v>0</v>
      </c>
      <c r="M151" s="948">
        <f t="shared" si="68"/>
        <v>0</v>
      </c>
      <c r="N151" s="948">
        <f t="shared" si="68"/>
        <v>0</v>
      </c>
      <c r="O151" s="948">
        <f t="shared" si="68"/>
        <v>0</v>
      </c>
      <c r="P151" s="948"/>
      <c r="Q151" s="948">
        <f t="shared" si="68"/>
        <v>0</v>
      </c>
      <c r="R151" s="949">
        <f t="shared" si="68"/>
        <v>0</v>
      </c>
      <c r="S151" s="948">
        <f t="shared" si="68"/>
        <v>0</v>
      </c>
      <c r="T151" s="948">
        <f t="shared" si="68"/>
        <v>0</v>
      </c>
      <c r="U151" s="948">
        <f t="shared" si="68"/>
        <v>0</v>
      </c>
      <c r="V151" s="950">
        <f t="shared" si="68"/>
        <v>0</v>
      </c>
      <c r="W151" s="945">
        <f t="shared" si="68"/>
        <v>0</v>
      </c>
      <c r="X151" s="949"/>
      <c r="Y151" s="948">
        <f t="shared" si="68"/>
        <v>0</v>
      </c>
      <c r="Z151" s="948">
        <f t="shared" si="68"/>
        <v>0</v>
      </c>
      <c r="AA151" s="948">
        <f t="shared" si="68"/>
        <v>0</v>
      </c>
      <c r="AB151" s="948">
        <f t="shared" si="68"/>
        <v>0</v>
      </c>
      <c r="AC151" s="948"/>
      <c r="AD151" s="948">
        <f t="shared" si="68"/>
        <v>0</v>
      </c>
      <c r="AE151" s="948">
        <f t="shared" si="68"/>
        <v>0</v>
      </c>
      <c r="AF151" s="948">
        <f t="shared" si="68"/>
        <v>0</v>
      </c>
      <c r="AG151" s="951"/>
      <c r="AH151" s="560"/>
      <c r="AI151" s="546"/>
      <c r="AJ151" s="952"/>
      <c r="AK151" s="568"/>
      <c r="AL151" s="568"/>
    </row>
    <row r="152" spans="1:38" ht="38.25">
      <c r="A152" s="1551"/>
      <c r="B152" s="1551" t="s">
        <v>869</v>
      </c>
      <c r="C152" s="829" t="s">
        <v>1046</v>
      </c>
      <c r="D152" s="422"/>
      <c r="E152" s="914">
        <f t="shared" ref="E152:E160" si="69">SUM(F152+P152+X152)</f>
        <v>1</v>
      </c>
      <c r="F152" s="930">
        <f t="shared" ref="F152:F160" si="70">COUNTIF(G152:O152,"H")</f>
        <v>1</v>
      </c>
      <c r="G152" s="436"/>
      <c r="H152" s="828"/>
      <c r="I152" s="828" t="s">
        <v>562</v>
      </c>
      <c r="J152" s="828"/>
      <c r="K152" s="828"/>
      <c r="L152" s="495"/>
      <c r="M152" s="495"/>
      <c r="N152" s="495"/>
      <c r="O152" s="437"/>
      <c r="P152" s="931">
        <f t="shared" ref="P152:P160" si="71">COUNTIF(Q152:W152,"H")</f>
        <v>0</v>
      </c>
      <c r="Q152" s="428"/>
      <c r="R152" s="428"/>
      <c r="S152" s="828"/>
      <c r="T152" s="828"/>
      <c r="U152" s="828"/>
      <c r="V152" s="495"/>
      <c r="W152" s="437"/>
      <c r="X152" s="930">
        <f t="shared" ref="X152:X160" si="72">COUNTIF(Y152:AB152,"H")</f>
        <v>0</v>
      </c>
      <c r="Y152" s="436"/>
      <c r="Z152" s="428"/>
      <c r="AA152" s="828"/>
      <c r="AB152" s="437"/>
      <c r="AC152" s="931">
        <f t="shared" ref="AC152:AC160" si="73">COUNTIF(AD152:AF152,"H")</f>
        <v>0</v>
      </c>
      <c r="AD152" s="436"/>
      <c r="AE152" s="828"/>
      <c r="AF152" s="437"/>
      <c r="AG152" s="428"/>
      <c r="AH152" s="528"/>
      <c r="AI152" s="494" t="s">
        <v>1179</v>
      </c>
      <c r="AJ152" s="572"/>
      <c r="AK152" s="567"/>
      <c r="AL152" s="567"/>
    </row>
    <row r="153" spans="1:38" ht="25.5">
      <c r="A153" s="1551"/>
      <c r="B153" s="1551"/>
      <c r="C153" s="336" t="s">
        <v>551</v>
      </c>
      <c r="D153" s="427"/>
      <c r="E153" s="914">
        <f t="shared" si="69"/>
        <v>1</v>
      </c>
      <c r="F153" s="930">
        <f t="shared" si="70"/>
        <v>0</v>
      </c>
      <c r="G153" s="449"/>
      <c r="H153" s="408"/>
      <c r="I153" s="408"/>
      <c r="J153" s="408"/>
      <c r="K153" s="408"/>
      <c r="L153" s="498"/>
      <c r="M153" s="498"/>
      <c r="N153" s="498"/>
      <c r="O153" s="450"/>
      <c r="P153" s="931">
        <f t="shared" si="71"/>
        <v>0</v>
      </c>
      <c r="Q153" s="435"/>
      <c r="R153" s="435"/>
      <c r="S153" s="408"/>
      <c r="T153" s="408"/>
      <c r="U153" s="408"/>
      <c r="V153" s="498"/>
      <c r="W153" s="450"/>
      <c r="X153" s="930">
        <f t="shared" si="72"/>
        <v>1</v>
      </c>
      <c r="Y153" s="449"/>
      <c r="Z153" s="435" t="s">
        <v>562</v>
      </c>
      <c r="AA153" s="408"/>
      <c r="AB153" s="450"/>
      <c r="AC153" s="931">
        <f t="shared" si="73"/>
        <v>0</v>
      </c>
      <c r="AD153" s="449"/>
      <c r="AE153" s="408"/>
      <c r="AF153" s="450"/>
      <c r="AG153" s="435"/>
      <c r="AH153" s="561"/>
      <c r="AI153" s="497" t="s">
        <v>1178</v>
      </c>
      <c r="AJ153" s="567"/>
      <c r="AK153" s="567"/>
      <c r="AL153" s="567"/>
    </row>
    <row r="154" spans="1:38" ht="25.5">
      <c r="A154" s="1551"/>
      <c r="B154" s="1551"/>
      <c r="C154" s="336" t="s">
        <v>1052</v>
      </c>
      <c r="D154" s="427"/>
      <c r="E154" s="926">
        <f t="shared" si="69"/>
        <v>8</v>
      </c>
      <c r="F154" s="930">
        <f t="shared" si="70"/>
        <v>3</v>
      </c>
      <c r="G154" s="449"/>
      <c r="H154" s="408" t="s">
        <v>562</v>
      </c>
      <c r="I154" s="408" t="s">
        <v>562</v>
      </c>
      <c r="J154" s="408"/>
      <c r="K154" s="408"/>
      <c r="L154" s="498"/>
      <c r="M154" s="498"/>
      <c r="N154" s="498"/>
      <c r="O154" s="450" t="s">
        <v>562</v>
      </c>
      <c r="P154" s="931">
        <f t="shared" si="71"/>
        <v>5</v>
      </c>
      <c r="Q154" s="435"/>
      <c r="R154" s="435" t="s">
        <v>562</v>
      </c>
      <c r="S154" s="408" t="s">
        <v>562</v>
      </c>
      <c r="T154" s="408" t="s">
        <v>562</v>
      </c>
      <c r="U154" s="408" t="s">
        <v>562</v>
      </c>
      <c r="V154" s="498" t="s">
        <v>562</v>
      </c>
      <c r="W154" s="450"/>
      <c r="X154" s="930">
        <f t="shared" si="72"/>
        <v>0</v>
      </c>
      <c r="Y154" s="449"/>
      <c r="Z154" s="435"/>
      <c r="AA154" s="408"/>
      <c r="AB154" s="450"/>
      <c r="AC154" s="931">
        <f t="shared" si="73"/>
        <v>0</v>
      </c>
      <c r="AD154" s="449"/>
      <c r="AE154" s="408"/>
      <c r="AF154" s="450"/>
      <c r="AG154" s="435"/>
      <c r="AH154" s="561"/>
      <c r="AI154" s="497" t="s">
        <v>1177</v>
      </c>
      <c r="AJ154" s="567"/>
      <c r="AK154" s="567"/>
      <c r="AL154" s="567"/>
    </row>
    <row r="155" spans="1:38" ht="22.5">
      <c r="A155" s="1551"/>
      <c r="B155" s="1551"/>
      <c r="C155" s="829" t="s">
        <v>553</v>
      </c>
      <c r="D155" s="422"/>
      <c r="E155" s="914">
        <f t="shared" si="69"/>
        <v>0</v>
      </c>
      <c r="F155" s="930">
        <f t="shared" si="70"/>
        <v>0</v>
      </c>
      <c r="G155" s="436"/>
      <c r="H155" s="828"/>
      <c r="I155" s="828"/>
      <c r="J155" s="828"/>
      <c r="K155" s="828"/>
      <c r="L155" s="495"/>
      <c r="M155" s="495"/>
      <c r="N155" s="495"/>
      <c r="O155" s="437"/>
      <c r="P155" s="931">
        <f t="shared" si="71"/>
        <v>0</v>
      </c>
      <c r="Q155" s="428"/>
      <c r="R155" s="428"/>
      <c r="S155" s="828"/>
      <c r="T155" s="828"/>
      <c r="U155" s="828"/>
      <c r="V155" s="495"/>
      <c r="W155" s="437"/>
      <c r="X155" s="930">
        <f t="shared" si="72"/>
        <v>0</v>
      </c>
      <c r="Y155" s="436"/>
      <c r="Z155" s="428"/>
      <c r="AA155" s="828"/>
      <c r="AB155" s="437"/>
      <c r="AC155" s="931">
        <f t="shared" si="73"/>
        <v>0</v>
      </c>
      <c r="AD155" s="436"/>
      <c r="AE155" s="828"/>
      <c r="AF155" s="437"/>
      <c r="AG155" s="428"/>
      <c r="AH155" s="494" t="s">
        <v>554</v>
      </c>
      <c r="AI155" s="548" t="s">
        <v>1176</v>
      </c>
      <c r="AJ155" s="571"/>
      <c r="AK155" s="567"/>
      <c r="AL155" s="567"/>
    </row>
    <row r="156" spans="1:38" ht="25.5">
      <c r="A156" s="1551"/>
      <c r="B156" s="1551"/>
      <c r="C156" s="829" t="s">
        <v>555</v>
      </c>
      <c r="D156" s="422"/>
      <c r="E156" s="914">
        <f t="shared" si="69"/>
        <v>0</v>
      </c>
      <c r="F156" s="930">
        <f t="shared" si="70"/>
        <v>0</v>
      </c>
      <c r="G156" s="436"/>
      <c r="H156" s="828"/>
      <c r="I156" s="828"/>
      <c r="J156" s="828"/>
      <c r="K156" s="828"/>
      <c r="L156" s="495"/>
      <c r="M156" s="495"/>
      <c r="N156" s="495"/>
      <c r="O156" s="437"/>
      <c r="P156" s="931">
        <f t="shared" si="71"/>
        <v>0</v>
      </c>
      <c r="Q156" s="428"/>
      <c r="R156" s="428"/>
      <c r="S156" s="828"/>
      <c r="T156" s="828"/>
      <c r="U156" s="828"/>
      <c r="V156" s="495"/>
      <c r="W156" s="437"/>
      <c r="X156" s="930">
        <f t="shared" si="72"/>
        <v>0</v>
      </c>
      <c r="Y156" s="436"/>
      <c r="Z156" s="428"/>
      <c r="AA156" s="828"/>
      <c r="AB156" s="437"/>
      <c r="AC156" s="931">
        <f t="shared" si="73"/>
        <v>0</v>
      </c>
      <c r="AD156" s="436"/>
      <c r="AE156" s="828"/>
      <c r="AF156" s="437"/>
      <c r="AG156" s="428"/>
      <c r="AH156" s="528"/>
      <c r="AI156" s="494" t="s">
        <v>582</v>
      </c>
      <c r="AJ156" s="571"/>
      <c r="AK156" s="567"/>
      <c r="AL156" s="567"/>
    </row>
    <row r="157" spans="1:38" ht="38.25">
      <c r="A157" s="1551"/>
      <c r="B157" s="1551"/>
      <c r="C157" s="829" t="s">
        <v>1028</v>
      </c>
      <c r="D157" s="422"/>
      <c r="E157" s="914">
        <f t="shared" si="69"/>
        <v>2</v>
      </c>
      <c r="F157" s="930">
        <f t="shared" si="70"/>
        <v>0</v>
      </c>
      <c r="G157" s="436"/>
      <c r="H157" s="828"/>
      <c r="I157" s="828"/>
      <c r="J157" s="828"/>
      <c r="K157" s="828"/>
      <c r="L157" s="495"/>
      <c r="M157" s="495"/>
      <c r="N157" s="495"/>
      <c r="O157" s="437"/>
      <c r="P157" s="931">
        <f t="shared" si="71"/>
        <v>1</v>
      </c>
      <c r="Q157" s="428"/>
      <c r="R157" s="435"/>
      <c r="S157" s="828" t="s">
        <v>562</v>
      </c>
      <c r="T157" s="828"/>
      <c r="U157" s="828"/>
      <c r="V157" s="495"/>
      <c r="W157" s="437"/>
      <c r="X157" s="930">
        <f t="shared" si="72"/>
        <v>1</v>
      </c>
      <c r="Y157" s="436"/>
      <c r="Z157" s="428" t="s">
        <v>562</v>
      </c>
      <c r="AA157" s="828"/>
      <c r="AB157" s="437"/>
      <c r="AC157" s="931">
        <f t="shared" si="73"/>
        <v>0</v>
      </c>
      <c r="AD157" s="436"/>
      <c r="AE157" s="828"/>
      <c r="AF157" s="437"/>
      <c r="AG157" s="428"/>
      <c r="AH157" s="528"/>
      <c r="AI157" s="494" t="s">
        <v>1424</v>
      </c>
      <c r="AJ157" s="571"/>
      <c r="AK157" s="567"/>
      <c r="AL157" s="567"/>
    </row>
    <row r="158" spans="1:38" ht="27" customHeight="1">
      <c r="A158" s="1551"/>
      <c r="B158" s="1551"/>
      <c r="C158" s="829" t="s">
        <v>1051</v>
      </c>
      <c r="D158" s="422"/>
      <c r="E158" s="914">
        <f t="shared" si="69"/>
        <v>0</v>
      </c>
      <c r="F158" s="930">
        <f t="shared" si="70"/>
        <v>0</v>
      </c>
      <c r="G158" s="436"/>
      <c r="H158" s="828"/>
      <c r="I158" s="828"/>
      <c r="J158" s="828"/>
      <c r="K158" s="828"/>
      <c r="L158" s="495"/>
      <c r="M158" s="495"/>
      <c r="N158" s="495"/>
      <c r="O158" s="437"/>
      <c r="P158" s="931">
        <f t="shared" si="71"/>
        <v>0</v>
      </c>
      <c r="Q158" s="428"/>
      <c r="R158" s="435"/>
      <c r="S158" s="828"/>
      <c r="T158" s="828"/>
      <c r="U158" s="828"/>
      <c r="V158" s="495"/>
      <c r="W158" s="437"/>
      <c r="X158" s="930">
        <f t="shared" si="72"/>
        <v>0</v>
      </c>
      <c r="Y158" s="436"/>
      <c r="Z158" s="428"/>
      <c r="AA158" s="828"/>
      <c r="AB158" s="437"/>
      <c r="AC158" s="931">
        <f t="shared" si="73"/>
        <v>0</v>
      </c>
      <c r="AD158" s="436"/>
      <c r="AE158" s="828"/>
      <c r="AF158" s="437"/>
      <c r="AG158" s="428"/>
      <c r="AH158" s="528"/>
      <c r="AI158" s="494" t="s">
        <v>1175</v>
      </c>
      <c r="AJ158" s="571"/>
      <c r="AK158" s="567"/>
      <c r="AL158" s="567"/>
    </row>
    <row r="159" spans="1:38" ht="25.5">
      <c r="A159" s="1551"/>
      <c r="B159" s="1551"/>
      <c r="C159" s="829" t="s">
        <v>1338</v>
      </c>
      <c r="D159" s="422"/>
      <c r="E159" s="914">
        <f t="shared" si="69"/>
        <v>0</v>
      </c>
      <c r="F159" s="930">
        <f t="shared" si="70"/>
        <v>0</v>
      </c>
      <c r="G159" s="436"/>
      <c r="H159" s="828"/>
      <c r="I159" s="828"/>
      <c r="J159" s="828"/>
      <c r="K159" s="828"/>
      <c r="L159" s="495"/>
      <c r="M159" s="495"/>
      <c r="N159" s="495"/>
      <c r="O159" s="437"/>
      <c r="P159" s="931">
        <f t="shared" si="71"/>
        <v>0</v>
      </c>
      <c r="Q159" s="428"/>
      <c r="R159" s="435"/>
      <c r="S159" s="828"/>
      <c r="T159" s="828"/>
      <c r="U159" s="828"/>
      <c r="V159" s="495"/>
      <c r="W159" s="437"/>
      <c r="X159" s="930">
        <f t="shared" si="72"/>
        <v>0</v>
      </c>
      <c r="Y159" s="436"/>
      <c r="Z159" s="428"/>
      <c r="AA159" s="828"/>
      <c r="AB159" s="437"/>
      <c r="AC159" s="931">
        <f t="shared" si="73"/>
        <v>0</v>
      </c>
      <c r="AD159" s="436"/>
      <c r="AE159" s="828"/>
      <c r="AF159" s="437"/>
      <c r="AG159" s="428"/>
      <c r="AH159" s="555"/>
      <c r="AI159" s="494" t="s">
        <v>1174</v>
      </c>
      <c r="AJ159" s="571"/>
      <c r="AK159" s="567"/>
      <c r="AL159" s="567"/>
    </row>
    <row r="160" spans="1:38" thickBot="1">
      <c r="A160" s="1551"/>
      <c r="B160" s="1551"/>
      <c r="C160" s="829" t="s">
        <v>625</v>
      </c>
      <c r="D160" s="422"/>
      <c r="E160" s="914">
        <f t="shared" si="69"/>
        <v>0</v>
      </c>
      <c r="F160" s="930">
        <f t="shared" si="70"/>
        <v>0</v>
      </c>
      <c r="G160" s="451"/>
      <c r="H160" s="452"/>
      <c r="I160" s="452"/>
      <c r="J160" s="452"/>
      <c r="K160" s="452"/>
      <c r="L160" s="496"/>
      <c r="M160" s="496"/>
      <c r="N160" s="496"/>
      <c r="O160" s="496"/>
      <c r="P160" s="1012">
        <f t="shared" si="71"/>
        <v>0</v>
      </c>
      <c r="Q160" s="454"/>
      <c r="R160" s="454"/>
      <c r="S160" s="452"/>
      <c r="T160" s="452"/>
      <c r="U160" s="452"/>
      <c r="V160" s="496"/>
      <c r="W160" s="453"/>
      <c r="X160" s="1013">
        <f t="shared" si="72"/>
        <v>0</v>
      </c>
      <c r="Y160" s="1014"/>
      <c r="Z160" s="1015"/>
      <c r="AA160" s="1015"/>
      <c r="AB160" s="1016"/>
      <c r="AC160" s="1012">
        <f t="shared" si="73"/>
        <v>0</v>
      </c>
      <c r="AD160" s="451"/>
      <c r="AE160" s="452"/>
      <c r="AF160" s="453"/>
      <c r="AG160" s="428"/>
      <c r="AH160" s="555"/>
      <c r="AI160" s="494" t="s">
        <v>1047</v>
      </c>
      <c r="AJ160" s="571"/>
      <c r="AK160" s="567"/>
      <c r="AL160" s="567"/>
    </row>
    <row r="161" spans="1:38" s="590" customFormat="1" ht="16.5" customHeight="1" thickTop="1">
      <c r="A161" s="932" t="s">
        <v>1589</v>
      </c>
      <c r="B161" s="932"/>
      <c r="C161" s="336"/>
      <c r="D161" s="422"/>
      <c r="E161" s="933"/>
      <c r="F161" s="934"/>
      <c r="G161" s="935">
        <f>COUNTIF(G152:G160, "M")</f>
        <v>0</v>
      </c>
      <c r="H161" s="935">
        <f t="shared" ref="H161:AF161" si="74">COUNTIF(H152:H160, "M")</f>
        <v>0</v>
      </c>
      <c r="I161" s="935">
        <f t="shared" si="74"/>
        <v>0</v>
      </c>
      <c r="J161" s="935">
        <f t="shared" si="74"/>
        <v>0</v>
      </c>
      <c r="K161" s="935">
        <f t="shared" si="74"/>
        <v>0</v>
      </c>
      <c r="L161" s="935">
        <f t="shared" si="74"/>
        <v>0</v>
      </c>
      <c r="M161" s="935">
        <f t="shared" si="74"/>
        <v>0</v>
      </c>
      <c r="N161" s="935">
        <f t="shared" si="74"/>
        <v>0</v>
      </c>
      <c r="O161" s="935">
        <f t="shared" si="74"/>
        <v>0</v>
      </c>
      <c r="P161" s="1017"/>
      <c r="Q161" s="935">
        <f t="shared" si="74"/>
        <v>0</v>
      </c>
      <c r="R161" s="939">
        <f t="shared" si="74"/>
        <v>0</v>
      </c>
      <c r="S161" s="935">
        <f t="shared" si="74"/>
        <v>0</v>
      </c>
      <c r="T161" s="935">
        <f t="shared" si="74"/>
        <v>0</v>
      </c>
      <c r="U161" s="935">
        <f t="shared" si="74"/>
        <v>0</v>
      </c>
      <c r="V161" s="943">
        <f t="shared" si="74"/>
        <v>0</v>
      </c>
      <c r="W161" s="931">
        <f t="shared" si="74"/>
        <v>0</v>
      </c>
      <c r="X161" s="1018"/>
      <c r="Y161" s="1017">
        <f t="shared" si="74"/>
        <v>0</v>
      </c>
      <c r="Z161" s="1017">
        <f t="shared" si="74"/>
        <v>0</v>
      </c>
      <c r="AA161" s="1017">
        <f t="shared" si="74"/>
        <v>0</v>
      </c>
      <c r="AB161" s="1017">
        <f t="shared" si="74"/>
        <v>0</v>
      </c>
      <c r="AC161" s="1017"/>
      <c r="AD161" s="935">
        <f t="shared" si="74"/>
        <v>0</v>
      </c>
      <c r="AE161" s="935">
        <f t="shared" si="74"/>
        <v>0</v>
      </c>
      <c r="AF161" s="935">
        <f t="shared" si="74"/>
        <v>0</v>
      </c>
      <c r="AG161" s="940"/>
      <c r="AH161" s="561"/>
      <c r="AI161" s="497"/>
      <c r="AJ161" s="941"/>
      <c r="AK161" s="406"/>
      <c r="AL161" s="406"/>
    </row>
    <row r="162" spans="1:38" s="590" customFormat="1" ht="13.5" thickBot="1">
      <c r="A162" s="932" t="s">
        <v>1590</v>
      </c>
      <c r="B162" s="932"/>
      <c r="C162" s="336"/>
      <c r="D162" s="422"/>
      <c r="E162" s="1019"/>
      <c r="F162" s="934"/>
      <c r="G162" s="935">
        <f>COUNTIF(G152:G160, "H")</f>
        <v>0</v>
      </c>
      <c r="H162" s="935">
        <f t="shared" ref="H162:AF162" si="75">COUNTIF(H152:H160, "H")</f>
        <v>1</v>
      </c>
      <c r="I162" s="935">
        <f t="shared" si="75"/>
        <v>2</v>
      </c>
      <c r="J162" s="935">
        <f t="shared" si="75"/>
        <v>0</v>
      </c>
      <c r="K162" s="935">
        <f t="shared" si="75"/>
        <v>0</v>
      </c>
      <c r="L162" s="935">
        <f t="shared" si="75"/>
        <v>0</v>
      </c>
      <c r="M162" s="935">
        <f t="shared" si="75"/>
        <v>0</v>
      </c>
      <c r="N162" s="935">
        <f t="shared" si="75"/>
        <v>0</v>
      </c>
      <c r="O162" s="935">
        <f t="shared" si="75"/>
        <v>1</v>
      </c>
      <c r="P162" s="935"/>
      <c r="Q162" s="935">
        <f t="shared" si="75"/>
        <v>0</v>
      </c>
      <c r="R162" s="939">
        <f t="shared" si="75"/>
        <v>1</v>
      </c>
      <c r="S162" s="935">
        <f t="shared" si="75"/>
        <v>2</v>
      </c>
      <c r="T162" s="935">
        <f t="shared" si="75"/>
        <v>1</v>
      </c>
      <c r="U162" s="935">
        <f t="shared" si="75"/>
        <v>1</v>
      </c>
      <c r="V162" s="943">
        <f t="shared" si="75"/>
        <v>1</v>
      </c>
      <c r="W162" s="931">
        <f t="shared" si="75"/>
        <v>0</v>
      </c>
      <c r="X162" s="939"/>
      <c r="Y162" s="935">
        <f t="shared" si="75"/>
        <v>0</v>
      </c>
      <c r="Z162" s="935">
        <f t="shared" si="75"/>
        <v>2</v>
      </c>
      <c r="AA162" s="935">
        <f t="shared" si="75"/>
        <v>0</v>
      </c>
      <c r="AB162" s="935">
        <f t="shared" si="75"/>
        <v>0</v>
      </c>
      <c r="AC162" s="935"/>
      <c r="AD162" s="935">
        <f t="shared" si="75"/>
        <v>0</v>
      </c>
      <c r="AE162" s="935">
        <f t="shared" si="75"/>
        <v>0</v>
      </c>
      <c r="AF162" s="935">
        <f t="shared" si="75"/>
        <v>0</v>
      </c>
      <c r="AG162" s="940"/>
      <c r="AH162" s="561"/>
      <c r="AI162" s="497"/>
      <c r="AJ162" s="941"/>
      <c r="AK162" s="406"/>
      <c r="AL162" s="406"/>
    </row>
    <row r="163" spans="1:38" ht="13.5" thickTop="1">
      <c r="A163" s="540" t="s">
        <v>1431</v>
      </c>
      <c r="B163" s="417"/>
      <c r="C163" s="529"/>
      <c r="D163" s="1020"/>
      <c r="E163" s="1020"/>
      <c r="F163" s="1020"/>
      <c r="G163" s="822"/>
      <c r="H163" s="822"/>
      <c r="I163" s="822"/>
      <c r="J163" s="822"/>
      <c r="K163" s="822"/>
      <c r="L163" s="822"/>
      <c r="M163" s="822"/>
      <c r="N163" s="822"/>
      <c r="O163" s="822"/>
      <c r="P163" s="822"/>
      <c r="Q163" s="822"/>
      <c r="R163" s="822"/>
      <c r="S163" s="822"/>
      <c r="T163" s="822"/>
      <c r="U163" s="822"/>
      <c r="V163" s="822"/>
      <c r="W163" s="822"/>
      <c r="X163" s="822"/>
      <c r="Y163" s="822"/>
      <c r="Z163" s="822"/>
      <c r="AA163" s="822"/>
      <c r="AB163" s="822"/>
      <c r="AC163" s="822"/>
      <c r="AD163" s="822"/>
      <c r="AE163" s="822"/>
      <c r="AF163" s="822"/>
      <c r="AG163" s="822"/>
      <c r="AL163" s="563"/>
    </row>
    <row r="164" spans="1:38" ht="12.75">
      <c r="C164" s="529"/>
      <c r="D164" s="1020"/>
      <c r="E164" s="1020"/>
      <c r="F164" s="1020"/>
      <c r="G164" s="822"/>
      <c r="H164" s="822"/>
      <c r="I164" s="822"/>
      <c r="J164" s="822"/>
      <c r="K164" s="822"/>
      <c r="L164" s="822"/>
      <c r="M164" s="822"/>
      <c r="N164" s="822"/>
      <c r="O164" s="822"/>
      <c r="P164" s="822"/>
      <c r="Q164" s="822"/>
      <c r="R164" s="822"/>
      <c r="S164" s="822"/>
      <c r="T164" s="822"/>
      <c r="U164" s="822"/>
      <c r="V164" s="822"/>
      <c r="W164" s="822"/>
      <c r="X164" s="822"/>
      <c r="Y164" s="822"/>
      <c r="Z164" s="822"/>
      <c r="AA164" s="822"/>
      <c r="AB164" s="822"/>
      <c r="AC164" s="822"/>
      <c r="AD164" s="822"/>
      <c r="AE164" s="822"/>
      <c r="AF164" s="822"/>
      <c r="AG164" s="822"/>
      <c r="AL164" s="563"/>
    </row>
    <row r="165" spans="1:38" ht="12.75">
      <c r="D165" s="1021"/>
      <c r="E165" s="1021"/>
      <c r="F165" s="1021"/>
      <c r="G165" s="820"/>
      <c r="H165" s="820"/>
      <c r="I165" s="419"/>
      <c r="J165" s="416"/>
      <c r="K165" s="416"/>
      <c r="L165" s="416"/>
      <c r="M165" s="416"/>
      <c r="N165" s="416"/>
      <c r="O165" s="820"/>
      <c r="P165" s="820"/>
      <c r="Q165" s="820"/>
      <c r="AL165" s="563"/>
    </row>
    <row r="166" spans="1:38" ht="12.75">
      <c r="D166" s="524"/>
      <c r="E166" s="524"/>
      <c r="F166" s="524"/>
      <c r="G166" s="820"/>
      <c r="H166" s="820"/>
      <c r="I166" s="419"/>
      <c r="J166" s="416"/>
      <c r="K166" s="416"/>
      <c r="L166" s="416"/>
      <c r="M166" s="416"/>
      <c r="N166" s="416"/>
      <c r="O166" s="820"/>
      <c r="P166" s="820"/>
      <c r="Q166" s="820"/>
      <c r="AL166" s="563"/>
    </row>
    <row r="167" spans="1:38">
      <c r="A167" s="525" t="s">
        <v>1334</v>
      </c>
      <c r="AL167" s="563"/>
    </row>
    <row r="168" spans="1:38">
      <c r="A168" s="525"/>
      <c r="D168" s="417" t="s">
        <v>1335</v>
      </c>
      <c r="AL168" s="563"/>
    </row>
    <row r="169" spans="1:38" ht="16.5" thickBot="1">
      <c r="A169" s="525"/>
      <c r="AL169" s="563"/>
    </row>
    <row r="170" spans="1:38" ht="34.5" thickTop="1">
      <c r="A170" s="525"/>
      <c r="C170" s="530" t="s">
        <v>1357</v>
      </c>
      <c r="D170" s="531"/>
      <c r="E170" s="1022">
        <f t="shared" ref="E170:E180" si="76">SUM(F170+P170+X170)</f>
        <v>0</v>
      </c>
      <c r="F170" s="957">
        <f t="shared" ref="F170:F180" si="77">COUNTIF(G170:O170,"H")</f>
        <v>0</v>
      </c>
      <c r="G170" s="532"/>
      <c r="H170" s="823"/>
      <c r="I170" s="823"/>
      <c r="J170" s="823"/>
      <c r="K170" s="823"/>
      <c r="L170" s="823"/>
      <c r="M170" s="823"/>
      <c r="N170" s="823"/>
      <c r="O170" s="595"/>
      <c r="P170" s="1023">
        <f t="shared" ref="P170:P180" si="78">COUNTIF(Q170:W170,"H")</f>
        <v>0</v>
      </c>
      <c r="Q170" s="823"/>
      <c r="R170" s="823"/>
      <c r="S170" s="823"/>
      <c r="T170" s="823"/>
      <c r="U170" s="823"/>
      <c r="V170" s="823"/>
      <c r="W170" s="823"/>
      <c r="X170" s="1024">
        <f t="shared" ref="X170:X180" si="79">COUNTIF(Y170:AB170,"H")</f>
        <v>0</v>
      </c>
      <c r="Y170" s="823"/>
      <c r="Z170" s="823"/>
      <c r="AA170" s="823"/>
      <c r="AB170" s="823"/>
      <c r="AC170" s="1024">
        <f t="shared" ref="AC170:AC180" si="80">COUNTIF(AD170:AF170,"H")</f>
        <v>0</v>
      </c>
      <c r="AD170" s="532"/>
      <c r="AE170" s="823"/>
      <c r="AF170" s="823"/>
      <c r="AG170" s="823"/>
      <c r="AH170" s="535"/>
      <c r="AI170" s="535" t="s">
        <v>1358</v>
      </c>
      <c r="AJ170" s="569"/>
      <c r="AK170" s="569"/>
      <c r="AL170" s="567"/>
    </row>
    <row r="171" spans="1:38" ht="38.25">
      <c r="C171" s="533" t="s">
        <v>1359</v>
      </c>
      <c r="D171" s="534" t="s">
        <v>1017</v>
      </c>
      <c r="E171" s="914">
        <f t="shared" si="76"/>
        <v>8</v>
      </c>
      <c r="F171" s="957">
        <f t="shared" si="77"/>
        <v>1</v>
      </c>
      <c r="G171" s="430"/>
      <c r="H171" s="832"/>
      <c r="I171" s="832" t="s">
        <v>562</v>
      </c>
      <c r="J171" s="832"/>
      <c r="K171" s="832"/>
      <c r="L171" s="832"/>
      <c r="M171" s="832"/>
      <c r="N171" s="832"/>
      <c r="O171" s="508"/>
      <c r="P171" s="1025">
        <f t="shared" si="78"/>
        <v>5</v>
      </c>
      <c r="Q171" s="832"/>
      <c r="R171" s="832" t="s">
        <v>562</v>
      </c>
      <c r="S171" s="832" t="s">
        <v>562</v>
      </c>
      <c r="T171" s="832" t="s">
        <v>562</v>
      </c>
      <c r="U171" s="832" t="s">
        <v>562</v>
      </c>
      <c r="V171" s="832" t="s">
        <v>562</v>
      </c>
      <c r="W171" s="832"/>
      <c r="X171" s="1024">
        <f t="shared" si="79"/>
        <v>2</v>
      </c>
      <c r="Y171" s="846"/>
      <c r="Z171" s="846" t="s">
        <v>562</v>
      </c>
      <c r="AA171" s="846"/>
      <c r="AB171" s="846" t="s">
        <v>562</v>
      </c>
      <c r="AC171" s="1024">
        <f t="shared" si="80"/>
        <v>0</v>
      </c>
      <c r="AD171" s="832"/>
      <c r="AE171" s="832"/>
      <c r="AF171" s="832"/>
      <c r="AG171" s="832"/>
      <c r="AH171" s="562" t="s">
        <v>1336</v>
      </c>
      <c r="AI171" s="833" t="s">
        <v>1628</v>
      </c>
      <c r="AJ171" s="490"/>
      <c r="AK171" s="569"/>
      <c r="AL171" s="567"/>
    </row>
    <row r="172" spans="1:38" ht="33.75">
      <c r="C172" s="830" t="s">
        <v>1006</v>
      </c>
      <c r="D172" s="534" t="s">
        <v>1360</v>
      </c>
      <c r="E172" s="914">
        <f t="shared" si="76"/>
        <v>0</v>
      </c>
      <c r="F172" s="957">
        <f t="shared" si="77"/>
        <v>0</v>
      </c>
      <c r="G172" s="532"/>
      <c r="H172" s="823"/>
      <c r="I172" s="823"/>
      <c r="J172" s="823"/>
      <c r="K172" s="823"/>
      <c r="L172" s="823"/>
      <c r="M172" s="823"/>
      <c r="N172" s="823"/>
      <c r="O172" s="595"/>
      <c r="P172" s="1025">
        <f t="shared" si="78"/>
        <v>0</v>
      </c>
      <c r="Q172" s="823"/>
      <c r="R172" s="823"/>
      <c r="S172" s="823"/>
      <c r="T172" s="823"/>
      <c r="U172" s="823"/>
      <c r="V172" s="823"/>
      <c r="W172" s="823"/>
      <c r="X172" s="1024">
        <f t="shared" si="79"/>
        <v>0</v>
      </c>
      <c r="Y172" s="823"/>
      <c r="Z172" s="823"/>
      <c r="AA172" s="823"/>
      <c r="AB172" s="823"/>
      <c r="AC172" s="1024">
        <f t="shared" si="80"/>
        <v>0</v>
      </c>
      <c r="AD172" s="823"/>
      <c r="AE172" s="823"/>
      <c r="AF172" s="823"/>
      <c r="AG172" s="823"/>
      <c r="AH172" s="833" t="s">
        <v>1189</v>
      </c>
      <c r="AI172" s="833" t="s">
        <v>1196</v>
      </c>
      <c r="AJ172" s="569"/>
      <c r="AK172" s="569"/>
      <c r="AL172" s="567"/>
    </row>
    <row r="173" spans="1:38" ht="33.75">
      <c r="C173" s="830" t="s">
        <v>598</v>
      </c>
      <c r="D173" s="531" t="s">
        <v>1361</v>
      </c>
      <c r="E173" s="914">
        <f t="shared" si="76"/>
        <v>0</v>
      </c>
      <c r="F173" s="957">
        <f t="shared" si="77"/>
        <v>0</v>
      </c>
      <c r="G173" s="532"/>
      <c r="H173" s="823"/>
      <c r="I173" s="823"/>
      <c r="J173" s="823"/>
      <c r="K173" s="823"/>
      <c r="L173" s="823"/>
      <c r="M173" s="823"/>
      <c r="N173" s="823"/>
      <c r="O173" s="595"/>
      <c r="P173" s="1025">
        <f t="shared" si="78"/>
        <v>0</v>
      </c>
      <c r="Q173" s="823"/>
      <c r="R173" s="823"/>
      <c r="S173" s="823"/>
      <c r="T173" s="823"/>
      <c r="U173" s="823"/>
      <c r="V173" s="823"/>
      <c r="W173" s="823"/>
      <c r="X173" s="1024">
        <f t="shared" si="79"/>
        <v>0</v>
      </c>
      <c r="Y173" s="823"/>
      <c r="Z173" s="823"/>
      <c r="AA173" s="823"/>
      <c r="AB173" s="823"/>
      <c r="AC173" s="1024">
        <f t="shared" si="80"/>
        <v>0</v>
      </c>
      <c r="AD173" s="823"/>
      <c r="AE173" s="823"/>
      <c r="AF173" s="823"/>
      <c r="AG173" s="823"/>
      <c r="AH173" s="535"/>
      <c r="AI173" s="833" t="s">
        <v>1191</v>
      </c>
      <c r="AJ173" s="569"/>
      <c r="AK173" s="569"/>
      <c r="AL173" s="573"/>
    </row>
    <row r="174" spans="1:38" ht="38.25">
      <c r="C174" s="533" t="s">
        <v>1339</v>
      </c>
      <c r="D174" s="531" t="s">
        <v>1435</v>
      </c>
      <c r="E174" s="914">
        <f t="shared" si="76"/>
        <v>0</v>
      </c>
      <c r="F174" s="957">
        <f t="shared" si="77"/>
        <v>0</v>
      </c>
      <c r="G174" s="532"/>
      <c r="H174" s="823"/>
      <c r="I174" s="823"/>
      <c r="J174" s="823"/>
      <c r="K174" s="823"/>
      <c r="L174" s="823"/>
      <c r="M174" s="823"/>
      <c r="N174" s="823"/>
      <c r="O174" s="595"/>
      <c r="P174" s="1025">
        <f t="shared" si="78"/>
        <v>0</v>
      </c>
      <c r="Q174" s="823"/>
      <c r="R174" s="823"/>
      <c r="S174" s="823"/>
      <c r="T174" s="823"/>
      <c r="U174" s="823"/>
      <c r="V174" s="823"/>
      <c r="W174" s="823"/>
      <c r="X174" s="1024">
        <f t="shared" si="79"/>
        <v>0</v>
      </c>
      <c r="Y174" s="823"/>
      <c r="Z174" s="823"/>
      <c r="AA174" s="823"/>
      <c r="AB174" s="823"/>
      <c r="AC174" s="1024">
        <f t="shared" si="80"/>
        <v>0</v>
      </c>
      <c r="AD174" s="823"/>
      <c r="AE174" s="823"/>
      <c r="AF174" s="823"/>
      <c r="AG174" s="823"/>
      <c r="AH174" s="535"/>
      <c r="AI174" s="535" t="s">
        <v>1340</v>
      </c>
      <c r="AJ174" s="569"/>
      <c r="AK174" s="569"/>
      <c r="AL174" s="573"/>
    </row>
    <row r="175" spans="1:38" ht="25.5">
      <c r="C175" s="530" t="s">
        <v>1629</v>
      </c>
      <c r="D175" s="531" t="s">
        <v>1362</v>
      </c>
      <c r="E175" s="914">
        <f t="shared" si="76"/>
        <v>0</v>
      </c>
      <c r="F175" s="957">
        <f t="shared" si="77"/>
        <v>0</v>
      </c>
      <c r="G175" s="532"/>
      <c r="H175" s="823"/>
      <c r="I175" s="823"/>
      <c r="J175" s="823"/>
      <c r="K175" s="823"/>
      <c r="L175" s="823"/>
      <c r="M175" s="823"/>
      <c r="N175" s="823"/>
      <c r="O175" s="595"/>
      <c r="P175" s="1025">
        <f t="shared" si="78"/>
        <v>0</v>
      </c>
      <c r="Q175" s="823"/>
      <c r="R175" s="823"/>
      <c r="S175" s="823"/>
      <c r="T175" s="823"/>
      <c r="U175" s="823"/>
      <c r="V175" s="823"/>
      <c r="W175" s="823"/>
      <c r="X175" s="1024">
        <f t="shared" si="79"/>
        <v>0</v>
      </c>
      <c r="Y175" s="823"/>
      <c r="Z175" s="823"/>
      <c r="AA175" s="823"/>
      <c r="AB175" s="823"/>
      <c r="AC175" s="1024">
        <f t="shared" si="80"/>
        <v>0</v>
      </c>
      <c r="AD175" s="823"/>
      <c r="AE175" s="823"/>
      <c r="AF175" s="823"/>
      <c r="AG175" s="823"/>
      <c r="AH175" s="535"/>
      <c r="AI175" s="535" t="s">
        <v>1630</v>
      </c>
      <c r="AJ175" s="569"/>
      <c r="AK175" s="569"/>
      <c r="AL175" s="573"/>
    </row>
    <row r="176" spans="1:38" ht="25.5">
      <c r="C176" s="536" t="s">
        <v>1353</v>
      </c>
      <c r="D176" s="531" t="s">
        <v>1363</v>
      </c>
      <c r="E176" s="914">
        <f t="shared" si="76"/>
        <v>0</v>
      </c>
      <c r="F176" s="957">
        <f t="shared" si="77"/>
        <v>0</v>
      </c>
      <c r="G176" s="532"/>
      <c r="H176" s="823"/>
      <c r="I176" s="823"/>
      <c r="J176" s="823"/>
      <c r="K176" s="823"/>
      <c r="L176" s="823"/>
      <c r="M176" s="823"/>
      <c r="N176" s="823"/>
      <c r="O176" s="595"/>
      <c r="P176" s="1025">
        <f t="shared" si="78"/>
        <v>0</v>
      </c>
      <c r="Q176" s="823"/>
      <c r="R176" s="823"/>
      <c r="S176" s="823"/>
      <c r="T176" s="823"/>
      <c r="U176" s="823"/>
      <c r="V176" s="823"/>
      <c r="W176" s="823"/>
      <c r="X176" s="1024">
        <f t="shared" si="79"/>
        <v>0</v>
      </c>
      <c r="Y176" s="823"/>
      <c r="Z176" s="823"/>
      <c r="AA176" s="823"/>
      <c r="AB176" s="823"/>
      <c r="AC176" s="1024">
        <f t="shared" si="80"/>
        <v>0</v>
      </c>
      <c r="AD176" s="823"/>
      <c r="AE176" s="823"/>
      <c r="AF176" s="823"/>
      <c r="AG176" s="823"/>
      <c r="AH176" s="535"/>
      <c r="AI176" s="535" t="s">
        <v>1426</v>
      </c>
      <c r="AJ176" s="569"/>
      <c r="AK176" s="569"/>
      <c r="AL176" s="573"/>
    </row>
    <row r="177" spans="1:38" ht="25.5">
      <c r="C177" s="536" t="s">
        <v>1351</v>
      </c>
      <c r="D177" s="531" t="s">
        <v>1364</v>
      </c>
      <c r="E177" s="914">
        <f t="shared" si="76"/>
        <v>0</v>
      </c>
      <c r="F177" s="957">
        <f t="shared" si="77"/>
        <v>0</v>
      </c>
      <c r="G177" s="532"/>
      <c r="H177" s="823"/>
      <c r="I177" s="823"/>
      <c r="J177" s="823"/>
      <c r="K177" s="823"/>
      <c r="L177" s="823"/>
      <c r="M177" s="823"/>
      <c r="N177" s="823"/>
      <c r="O177" s="595"/>
      <c r="P177" s="1025">
        <f t="shared" si="78"/>
        <v>0</v>
      </c>
      <c r="Q177" s="823"/>
      <c r="R177" s="823"/>
      <c r="S177" s="823"/>
      <c r="T177" s="823"/>
      <c r="U177" s="823"/>
      <c r="V177" s="823"/>
      <c r="W177" s="823"/>
      <c r="X177" s="1024">
        <f t="shared" si="79"/>
        <v>0</v>
      </c>
      <c r="Y177" s="823"/>
      <c r="Z177" s="823"/>
      <c r="AA177" s="823"/>
      <c r="AB177" s="823"/>
      <c r="AC177" s="1024">
        <f t="shared" si="80"/>
        <v>0</v>
      </c>
      <c r="AD177" s="823"/>
      <c r="AE177" s="823"/>
      <c r="AF177" s="823"/>
      <c r="AG177" s="823"/>
      <c r="AH177" s="535"/>
      <c r="AI177" s="535" t="s">
        <v>1631</v>
      </c>
      <c r="AJ177" s="569"/>
      <c r="AK177" s="569"/>
      <c r="AL177" s="573"/>
    </row>
    <row r="178" spans="1:38" ht="38.25">
      <c r="C178" s="536" t="s">
        <v>1350</v>
      </c>
      <c r="D178" s="531" t="s">
        <v>1365</v>
      </c>
      <c r="E178" s="914">
        <f t="shared" si="76"/>
        <v>0</v>
      </c>
      <c r="F178" s="957">
        <f t="shared" si="77"/>
        <v>0</v>
      </c>
      <c r="G178" s="532"/>
      <c r="H178" s="823"/>
      <c r="I178" s="823"/>
      <c r="J178" s="823"/>
      <c r="K178" s="823"/>
      <c r="L178" s="823"/>
      <c r="M178" s="823"/>
      <c r="N178" s="823"/>
      <c r="O178" s="595"/>
      <c r="P178" s="1025">
        <f t="shared" si="78"/>
        <v>0</v>
      </c>
      <c r="Q178" s="823"/>
      <c r="R178" s="823"/>
      <c r="S178" s="823"/>
      <c r="T178" s="823"/>
      <c r="U178" s="823"/>
      <c r="V178" s="823"/>
      <c r="W178" s="823"/>
      <c r="X178" s="1024">
        <f t="shared" si="79"/>
        <v>0</v>
      </c>
      <c r="Y178" s="823"/>
      <c r="Z178" s="823"/>
      <c r="AA178" s="823"/>
      <c r="AB178" s="823"/>
      <c r="AC178" s="1024">
        <f t="shared" si="80"/>
        <v>0</v>
      </c>
      <c r="AD178" s="823"/>
      <c r="AE178" s="823"/>
      <c r="AF178" s="823"/>
      <c r="AG178" s="823"/>
      <c r="AH178" s="535"/>
      <c r="AI178" s="535" t="s">
        <v>1349</v>
      </c>
      <c r="AJ178" s="569"/>
      <c r="AK178" s="569"/>
      <c r="AL178" s="573"/>
    </row>
    <row r="179" spans="1:38">
      <c r="C179" s="530" t="s">
        <v>1354</v>
      </c>
      <c r="D179" s="531" t="s">
        <v>1366</v>
      </c>
      <c r="E179" s="914">
        <f t="shared" si="76"/>
        <v>0</v>
      </c>
      <c r="F179" s="957">
        <f t="shared" si="77"/>
        <v>0</v>
      </c>
      <c r="G179" s="532"/>
      <c r="H179" s="823"/>
      <c r="I179" s="823"/>
      <c r="J179" s="823"/>
      <c r="K179" s="823"/>
      <c r="L179" s="823"/>
      <c r="M179" s="823"/>
      <c r="N179" s="823"/>
      <c r="O179" s="595"/>
      <c r="P179" s="1025">
        <f t="shared" si="78"/>
        <v>0</v>
      </c>
      <c r="Q179" s="823"/>
      <c r="R179" s="823"/>
      <c r="S179" s="823"/>
      <c r="T179" s="823"/>
      <c r="U179" s="823"/>
      <c r="V179" s="823"/>
      <c r="W179" s="823"/>
      <c r="X179" s="1024">
        <f t="shared" si="79"/>
        <v>0</v>
      </c>
      <c r="Y179" s="823"/>
      <c r="Z179" s="823"/>
      <c r="AA179" s="823"/>
      <c r="AB179" s="823"/>
      <c r="AC179" s="1024">
        <f t="shared" si="80"/>
        <v>0</v>
      </c>
      <c r="AD179" s="823"/>
      <c r="AE179" s="823"/>
      <c r="AF179" s="823"/>
      <c r="AG179" s="823"/>
      <c r="AH179" s="535"/>
      <c r="AI179" s="535" t="s">
        <v>1427</v>
      </c>
      <c r="AJ179" s="569"/>
      <c r="AK179" s="569"/>
      <c r="AL179" s="573"/>
    </row>
    <row r="180" spans="1:38" ht="16.5" thickBot="1">
      <c r="C180" s="530" t="s">
        <v>1355</v>
      </c>
      <c r="D180" s="531" t="s">
        <v>1367</v>
      </c>
      <c r="E180" s="1026">
        <f t="shared" si="76"/>
        <v>0</v>
      </c>
      <c r="F180" s="957">
        <f t="shared" si="77"/>
        <v>0</v>
      </c>
      <c r="G180" s="532"/>
      <c r="H180" s="823"/>
      <c r="I180" s="823"/>
      <c r="J180" s="823"/>
      <c r="K180" s="823"/>
      <c r="L180" s="823"/>
      <c r="M180" s="823"/>
      <c r="N180" s="823"/>
      <c r="O180" s="595"/>
      <c r="P180" s="1027">
        <f t="shared" si="78"/>
        <v>0</v>
      </c>
      <c r="Q180" s="823"/>
      <c r="R180" s="823"/>
      <c r="S180" s="823"/>
      <c r="T180" s="823"/>
      <c r="U180" s="823"/>
      <c r="V180" s="823"/>
      <c r="W180" s="823"/>
      <c r="X180" s="1024">
        <f t="shared" si="79"/>
        <v>0</v>
      </c>
      <c r="Y180" s="823"/>
      <c r="Z180" s="823"/>
      <c r="AA180" s="823"/>
      <c r="AB180" s="823"/>
      <c r="AC180" s="1024">
        <f t="shared" si="80"/>
        <v>0</v>
      </c>
      <c r="AD180" s="823"/>
      <c r="AE180" s="823"/>
      <c r="AF180" s="823"/>
      <c r="AG180" s="823"/>
      <c r="AH180" s="535"/>
      <c r="AI180" s="535" t="s">
        <v>1356</v>
      </c>
      <c r="AJ180" s="569"/>
      <c r="AK180" s="569"/>
      <c r="AL180" s="573"/>
    </row>
    <row r="181" spans="1:38" s="966" customFormat="1" ht="16.5" customHeight="1" thickTop="1">
      <c r="A181" s="958" t="s">
        <v>1589</v>
      </c>
      <c r="B181" s="958"/>
      <c r="C181" s="530"/>
      <c r="D181" s="423"/>
      <c r="E181" s="1028"/>
      <c r="F181" s="959"/>
      <c r="G181" s="960">
        <f>COUNTIF(G170:G180, "M")</f>
        <v>0</v>
      </c>
      <c r="H181" s="960">
        <f t="shared" ref="H181:AF181" si="81">COUNTIF(H170:H180, "M")</f>
        <v>0</v>
      </c>
      <c r="I181" s="960">
        <f t="shared" si="81"/>
        <v>0</v>
      </c>
      <c r="J181" s="960">
        <f t="shared" si="81"/>
        <v>0</v>
      </c>
      <c r="K181" s="960">
        <f t="shared" si="81"/>
        <v>0</v>
      </c>
      <c r="L181" s="960">
        <f t="shared" si="81"/>
        <v>0</v>
      </c>
      <c r="M181" s="960">
        <f t="shared" si="81"/>
        <v>0</v>
      </c>
      <c r="N181" s="960">
        <f t="shared" si="81"/>
        <v>0</v>
      </c>
      <c r="O181" s="960">
        <f t="shared" si="81"/>
        <v>0</v>
      </c>
      <c r="P181" s="1029"/>
      <c r="Q181" s="960">
        <f t="shared" si="81"/>
        <v>0</v>
      </c>
      <c r="R181" s="960">
        <f t="shared" si="81"/>
        <v>0</v>
      </c>
      <c r="S181" s="960">
        <f t="shared" si="81"/>
        <v>0</v>
      </c>
      <c r="T181" s="960">
        <f t="shared" si="81"/>
        <v>0</v>
      </c>
      <c r="U181" s="960">
        <f t="shared" si="81"/>
        <v>0</v>
      </c>
      <c r="V181" s="960">
        <f t="shared" si="81"/>
        <v>0</v>
      </c>
      <c r="W181" s="960">
        <f t="shared" si="81"/>
        <v>0</v>
      </c>
      <c r="X181" s="960"/>
      <c r="Y181" s="960">
        <f t="shared" si="81"/>
        <v>0</v>
      </c>
      <c r="Z181" s="960">
        <f t="shared" si="81"/>
        <v>0</v>
      </c>
      <c r="AA181" s="960">
        <f t="shared" si="81"/>
        <v>0</v>
      </c>
      <c r="AB181" s="960">
        <f t="shared" si="81"/>
        <v>0</v>
      </c>
      <c r="AC181" s="960"/>
      <c r="AD181" s="960">
        <f t="shared" si="81"/>
        <v>0</v>
      </c>
      <c r="AE181" s="960">
        <f t="shared" si="81"/>
        <v>0</v>
      </c>
      <c r="AF181" s="960">
        <f t="shared" si="81"/>
        <v>0</v>
      </c>
      <c r="AG181" s="963"/>
      <c r="AH181" s="964"/>
      <c r="AI181" s="535"/>
      <c r="AJ181" s="965"/>
      <c r="AK181" s="569"/>
      <c r="AL181" s="569"/>
    </row>
    <row r="182" spans="1:38" s="966" customFormat="1" ht="12.75">
      <c r="A182" s="958" t="s">
        <v>1590</v>
      </c>
      <c r="B182" s="958"/>
      <c r="C182" s="530"/>
      <c r="D182" s="423"/>
      <c r="E182" s="959"/>
      <c r="F182" s="959"/>
      <c r="G182" s="960">
        <f>COUNTIF(G170:G180, "H")</f>
        <v>0</v>
      </c>
      <c r="H182" s="960">
        <f t="shared" ref="H182:AF182" si="82">COUNTIF(H170:H180, "H")</f>
        <v>0</v>
      </c>
      <c r="I182" s="960">
        <f t="shared" si="82"/>
        <v>1</v>
      </c>
      <c r="J182" s="960">
        <f t="shared" si="82"/>
        <v>0</v>
      </c>
      <c r="K182" s="960">
        <f t="shared" si="82"/>
        <v>0</v>
      </c>
      <c r="L182" s="960">
        <f t="shared" si="82"/>
        <v>0</v>
      </c>
      <c r="M182" s="960">
        <f t="shared" si="82"/>
        <v>0</v>
      </c>
      <c r="N182" s="960">
        <f t="shared" si="82"/>
        <v>0</v>
      </c>
      <c r="O182" s="960">
        <f t="shared" si="82"/>
        <v>0</v>
      </c>
      <c r="P182" s="960"/>
      <c r="Q182" s="960">
        <f t="shared" si="82"/>
        <v>0</v>
      </c>
      <c r="R182" s="960">
        <f t="shared" si="82"/>
        <v>1</v>
      </c>
      <c r="S182" s="960">
        <f t="shared" si="82"/>
        <v>1</v>
      </c>
      <c r="T182" s="960">
        <f t="shared" si="82"/>
        <v>1</v>
      </c>
      <c r="U182" s="960">
        <f t="shared" si="82"/>
        <v>1</v>
      </c>
      <c r="V182" s="960">
        <f t="shared" si="82"/>
        <v>1</v>
      </c>
      <c r="W182" s="960">
        <f t="shared" si="82"/>
        <v>0</v>
      </c>
      <c r="X182" s="960"/>
      <c r="Y182" s="960">
        <f t="shared" si="82"/>
        <v>0</v>
      </c>
      <c r="Z182" s="960">
        <f t="shared" si="82"/>
        <v>1</v>
      </c>
      <c r="AA182" s="960">
        <f t="shared" si="82"/>
        <v>0</v>
      </c>
      <c r="AB182" s="960">
        <f t="shared" si="82"/>
        <v>1</v>
      </c>
      <c r="AC182" s="960"/>
      <c r="AD182" s="960">
        <f t="shared" si="82"/>
        <v>0</v>
      </c>
      <c r="AE182" s="960">
        <f t="shared" si="82"/>
        <v>0</v>
      </c>
      <c r="AF182" s="960">
        <f t="shared" si="82"/>
        <v>0</v>
      </c>
      <c r="AG182" s="963"/>
      <c r="AH182" s="964"/>
      <c r="AI182" s="535"/>
      <c r="AJ182" s="965"/>
      <c r="AK182" s="569"/>
      <c r="AL182" s="569"/>
    </row>
    <row r="185" spans="1:38" s="590" customFormat="1" ht="16.5" customHeight="1">
      <c r="A185" s="1030" t="s">
        <v>1589</v>
      </c>
      <c r="B185" s="1030"/>
      <c r="C185" s="1031"/>
      <c r="D185" s="1032"/>
      <c r="E185" s="1033"/>
      <c r="F185" s="1033"/>
      <c r="G185" s="1034">
        <f>SUM(G24+G41+G57+G81+G97+G132+G145+G150+G161+G181+G112)</f>
        <v>0</v>
      </c>
      <c r="H185" s="1034">
        <f t="shared" ref="H185:O185" si="83">SUM(H24+H41+H57+H81+H97+H132+H145+H150+H161+H181+H112)</f>
        <v>0</v>
      </c>
      <c r="I185" s="1034">
        <f t="shared" si="83"/>
        <v>0</v>
      </c>
      <c r="J185" s="1034">
        <f t="shared" si="83"/>
        <v>0</v>
      </c>
      <c r="K185" s="1034">
        <f t="shared" si="83"/>
        <v>0</v>
      </c>
      <c r="L185" s="1034">
        <f t="shared" si="83"/>
        <v>0</v>
      </c>
      <c r="M185" s="1034">
        <f t="shared" si="83"/>
        <v>0</v>
      </c>
      <c r="N185" s="1034">
        <f t="shared" si="83"/>
        <v>0</v>
      </c>
      <c r="O185" s="1034">
        <f t="shared" si="83"/>
        <v>0</v>
      </c>
      <c r="P185" s="1034"/>
      <c r="Q185" s="1034">
        <f t="shared" ref="Q185:W185" si="84">SUM(Q24+Q41+Q57+Q81+Q97+Q132+Q145+Q150+Q161+Q181+Q112)</f>
        <v>0</v>
      </c>
      <c r="R185" s="1034">
        <f t="shared" si="84"/>
        <v>0</v>
      </c>
      <c r="S185" s="1034">
        <f t="shared" si="84"/>
        <v>0</v>
      </c>
      <c r="T185" s="1034">
        <f t="shared" si="84"/>
        <v>0</v>
      </c>
      <c r="U185" s="1034">
        <f t="shared" si="84"/>
        <v>0</v>
      </c>
      <c r="V185" s="1034">
        <f t="shared" si="84"/>
        <v>0</v>
      </c>
      <c r="W185" s="1034">
        <f t="shared" si="84"/>
        <v>0</v>
      </c>
      <c r="X185" s="1034"/>
      <c r="Y185" s="1034">
        <f t="shared" ref="Y185:AB185" si="85">SUM(Y24+Y41+Y57+Y81+Y97+Y132+Y145+Y150+Y161+Y181+Y112)</f>
        <v>0</v>
      </c>
      <c r="Z185" s="1034">
        <f t="shared" si="85"/>
        <v>0</v>
      </c>
      <c r="AA185" s="1034">
        <f t="shared" si="85"/>
        <v>0</v>
      </c>
      <c r="AB185" s="1034">
        <f t="shared" si="85"/>
        <v>0</v>
      </c>
      <c r="AC185" s="1034"/>
      <c r="AD185" s="1034">
        <f t="shared" ref="AD185:AF185" si="86">SUM(AD24+AD41+AD57+AD81+AD97+AD132+AD145+AD150+AD161+AD181+AD112)</f>
        <v>0</v>
      </c>
      <c r="AE185" s="1034">
        <f t="shared" si="86"/>
        <v>0</v>
      </c>
      <c r="AF185" s="1034">
        <f t="shared" si="86"/>
        <v>0</v>
      </c>
      <c r="AG185" s="1035"/>
      <c r="AH185" s="1036"/>
      <c r="AI185" s="1037"/>
      <c r="AJ185" s="1038"/>
      <c r="AK185" s="1039"/>
      <c r="AL185" s="1039"/>
    </row>
    <row r="186" spans="1:38" s="590" customFormat="1" ht="12.75">
      <c r="A186" s="1030" t="s">
        <v>1590</v>
      </c>
      <c r="B186" s="1030"/>
      <c r="C186" s="1031"/>
      <c r="D186" s="1032"/>
      <c r="E186" s="1033"/>
      <c r="F186" s="1033"/>
      <c r="G186" s="1034">
        <f>SUM(G25+G42+G58+G82+G98+G133+G146+G151+G162+G182+G113)</f>
        <v>1</v>
      </c>
      <c r="H186" s="1034">
        <f t="shared" ref="H186:O186" si="87">SUM(H25+H42+H58+H82+H98+H133+H146+H151+H162+H182+H113)</f>
        <v>48</v>
      </c>
      <c r="I186" s="1034">
        <f t="shared" si="87"/>
        <v>23</v>
      </c>
      <c r="J186" s="1034">
        <f t="shared" si="87"/>
        <v>14</v>
      </c>
      <c r="K186" s="1034">
        <f t="shared" si="87"/>
        <v>28</v>
      </c>
      <c r="L186" s="1034">
        <f t="shared" si="87"/>
        <v>1</v>
      </c>
      <c r="M186" s="1034">
        <f t="shared" si="87"/>
        <v>0</v>
      </c>
      <c r="N186" s="1034">
        <f t="shared" si="87"/>
        <v>0</v>
      </c>
      <c r="O186" s="1034">
        <f t="shared" si="87"/>
        <v>10</v>
      </c>
      <c r="P186" s="1034"/>
      <c r="Q186" s="1034">
        <f t="shared" ref="Q186:W186" si="88">SUM(Q25+Q42+Q58+Q82+Q98+Q133+Q146+Q151+Q162+Q182+Q113)</f>
        <v>0</v>
      </c>
      <c r="R186" s="1034">
        <f t="shared" si="88"/>
        <v>34</v>
      </c>
      <c r="S186" s="1034">
        <f t="shared" si="88"/>
        <v>52</v>
      </c>
      <c r="T186" s="1034">
        <f t="shared" si="88"/>
        <v>33</v>
      </c>
      <c r="U186" s="1034">
        <f t="shared" si="88"/>
        <v>33</v>
      </c>
      <c r="V186" s="1034">
        <f t="shared" si="88"/>
        <v>33</v>
      </c>
      <c r="W186" s="1034">
        <f t="shared" si="88"/>
        <v>0</v>
      </c>
      <c r="X186" s="1034"/>
      <c r="Y186" s="1034">
        <f>SUM(Y25+Y42+Y58+Y82+Y98+Y133+Y146+Y151+Y162+Y182+Y113)</f>
        <v>0</v>
      </c>
      <c r="Z186" s="1034">
        <f>SUM(Z25+Z42+Z58+Z82+Z98+Z133+Z146+Z151+Z162+Z182+Z113)</f>
        <v>22</v>
      </c>
      <c r="AA186" s="1034">
        <f>SUM(AA25+AA42+AA58+AA82+AA98+AA133+AA146+AA151+AA162+AA182+AA113)</f>
        <v>0</v>
      </c>
      <c r="AB186" s="1034">
        <f>SUM(AB25+AB42+AB58+AB82+AB98+AB133+AB146+AB151+AB162+AB182+AB113)</f>
        <v>65</v>
      </c>
      <c r="AC186" s="1034"/>
      <c r="AD186" s="1034">
        <f>SUM(AD25+AD42+AD58+AD82+AD98+AD133+AD146+AD151+AD162+AD182+AD113)</f>
        <v>0</v>
      </c>
      <c r="AE186" s="1034">
        <f>SUM(AE25+AE42+AE58+AE82+AE98+AE133+AE146+AE151+AE162+AE182+AE113)</f>
        <v>0</v>
      </c>
      <c r="AF186" s="1034">
        <f>SUM(AF25+AF42+AF58+AF82+AF98+AF133+AF146+AF151+AF162+AF182+AF113)</f>
        <v>0</v>
      </c>
      <c r="AG186" s="1035"/>
      <c r="AH186" s="1036"/>
      <c r="AI186" s="1037"/>
      <c r="AJ186" s="1038"/>
      <c r="AK186" s="1039"/>
      <c r="AL186" s="1039"/>
    </row>
  </sheetData>
  <mergeCells count="78">
    <mergeCell ref="A4:D4"/>
    <mergeCell ref="A3:D3"/>
    <mergeCell ref="G3:O3"/>
    <mergeCell ref="R3:V3"/>
    <mergeCell ref="Y3:AB3"/>
    <mergeCell ref="AD3:AF3"/>
    <mergeCell ref="A5:D5"/>
    <mergeCell ref="A6:D10"/>
    <mergeCell ref="G6:O6"/>
    <mergeCell ref="R6:V6"/>
    <mergeCell ref="Y6:AB6"/>
    <mergeCell ref="G7:O7"/>
    <mergeCell ref="R7:V7"/>
    <mergeCell ref="Y7:AB7"/>
    <mergeCell ref="G8:O8"/>
    <mergeCell ref="R8:V8"/>
    <mergeCell ref="Y8:AB8"/>
    <mergeCell ref="G9:O9"/>
    <mergeCell ref="R9:V9"/>
    <mergeCell ref="Y9:AB9"/>
    <mergeCell ref="G10:O10"/>
    <mergeCell ref="R10:V10"/>
    <mergeCell ref="Y10:AB10"/>
    <mergeCell ref="A12:A23"/>
    <mergeCell ref="B12:B23"/>
    <mergeCell ref="C12:C20"/>
    <mergeCell ref="A26:A40"/>
    <mergeCell ref="B26:B40"/>
    <mergeCell ref="C26:C28"/>
    <mergeCell ref="C38:C39"/>
    <mergeCell ref="C72:C73"/>
    <mergeCell ref="AH72:AH73"/>
    <mergeCell ref="AI72:AI73"/>
    <mergeCell ref="A43:A56"/>
    <mergeCell ref="B43:B56"/>
    <mergeCell ref="C43:C44"/>
    <mergeCell ref="A59:A80"/>
    <mergeCell ref="B59:B80"/>
    <mergeCell ref="C59:C64"/>
    <mergeCell ref="C76:C77"/>
    <mergeCell ref="AH59:AH64"/>
    <mergeCell ref="AI59:AI64"/>
    <mergeCell ref="C65:C71"/>
    <mergeCell ref="AH65:AH71"/>
    <mergeCell ref="AI65:AI71"/>
    <mergeCell ref="AI92:AI96"/>
    <mergeCell ref="AI76:AI77"/>
    <mergeCell ref="A83:A91"/>
    <mergeCell ref="B83:B91"/>
    <mergeCell ref="C83:C87"/>
    <mergeCell ref="AH83:AH87"/>
    <mergeCell ref="AI83:AI87"/>
    <mergeCell ref="C89:C91"/>
    <mergeCell ref="A92:A96"/>
    <mergeCell ref="B92:B96"/>
    <mergeCell ref="C92:C96"/>
    <mergeCell ref="H92:H96"/>
    <mergeCell ref="AH92:AH96"/>
    <mergeCell ref="A99:A111"/>
    <mergeCell ref="B99:B111"/>
    <mergeCell ref="C99:C102"/>
    <mergeCell ref="C106:C111"/>
    <mergeCell ref="AH106:AH111"/>
    <mergeCell ref="A147:A149"/>
    <mergeCell ref="B147:B149"/>
    <mergeCell ref="A152:A160"/>
    <mergeCell ref="B152:B160"/>
    <mergeCell ref="AI115:AI119"/>
    <mergeCell ref="C120:C126"/>
    <mergeCell ref="C127:C131"/>
    <mergeCell ref="A134:A144"/>
    <mergeCell ref="B134:B144"/>
    <mergeCell ref="C134:C144"/>
    <mergeCell ref="AI138:AI139"/>
    <mergeCell ref="A114:A131"/>
    <mergeCell ref="B114:B131"/>
    <mergeCell ref="C115:C119"/>
    <mergeCell ref="AH115:AH119"/>
  </mergeCells>
  <pageMargins left="0.25" right="0.25" top="0.75" bottom="0.75" header="0.3" footer="0.3"/>
  <pageSetup scale="32" fitToHeight="0" orientation="landscape" r:id="rId1"/>
  <rowBreaks count="1" manualBreakCount="1">
    <brk id="1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0"/>
  <sheetViews>
    <sheetView workbookViewId="0">
      <pane xSplit="4" ySplit="11" topLeftCell="E12" activePane="bottomRight" state="frozen"/>
      <selection pane="topRight" activeCell="E1" sqref="E1"/>
      <selection pane="bottomLeft" activeCell="A5" sqref="A5"/>
      <selection pane="bottomRight" activeCell="C24" sqref="C24:C26"/>
    </sheetView>
  </sheetViews>
  <sheetFormatPr defaultColWidth="9" defaultRowHeight="15.75"/>
  <cols>
    <col min="1" max="1" width="6" style="312" customWidth="1"/>
    <col min="2" max="2" width="11" style="312" customWidth="1"/>
    <col min="3" max="3" width="21.125" style="417" customWidth="1"/>
    <col min="4" max="4" width="17.375" style="312" customWidth="1"/>
    <col min="5" max="8" width="8.125" style="312" customWidth="1"/>
    <col min="9" max="9" width="5.125" style="312" customWidth="1"/>
    <col min="10" max="10" width="20.125" style="527" customWidth="1"/>
    <col min="11" max="11" width="64.625" style="527" customWidth="1"/>
    <col min="12" max="12" width="14" style="563" customWidth="1"/>
    <col min="13" max="13" width="20.625" style="563" customWidth="1"/>
    <col min="14" max="14" width="42.875" style="574" customWidth="1"/>
    <col min="15" max="16384" width="9" style="312"/>
  </cols>
  <sheetData>
    <row r="1" spans="1:18" ht="18">
      <c r="A1" s="526" t="s">
        <v>1368</v>
      </c>
      <c r="B1" s="526"/>
      <c r="C1" s="537"/>
      <c r="D1" s="526"/>
      <c r="N1" s="564" t="s">
        <v>1565</v>
      </c>
    </row>
    <row r="2" spans="1:18">
      <c r="N2" s="564" t="s">
        <v>1566</v>
      </c>
    </row>
    <row r="3" spans="1:18" ht="15.75" customHeight="1">
      <c r="A3" s="1598" t="s">
        <v>706</v>
      </c>
      <c r="B3" s="1568"/>
      <c r="C3" s="1568"/>
      <c r="D3" s="1568"/>
      <c r="E3" s="1596"/>
      <c r="F3" s="1616"/>
      <c r="G3" s="1616"/>
      <c r="H3" s="788"/>
      <c r="I3" s="455"/>
      <c r="J3" s="549"/>
      <c r="K3" s="543"/>
      <c r="L3" s="565"/>
      <c r="M3" s="565"/>
      <c r="N3" s="791" t="s">
        <v>1567</v>
      </c>
      <c r="O3" s="404"/>
      <c r="P3" s="404"/>
      <c r="Q3" s="404"/>
      <c r="R3" s="404"/>
    </row>
    <row r="4" spans="1:18" ht="63" customHeight="1">
      <c r="A4" s="1598" t="s">
        <v>845</v>
      </c>
      <c r="B4" s="1568"/>
      <c r="C4" s="1568"/>
      <c r="D4" s="1568"/>
      <c r="E4" s="792" t="s">
        <v>1014</v>
      </c>
      <c r="F4" s="793" t="s">
        <v>1568</v>
      </c>
      <c r="G4" s="793" t="s">
        <v>1569</v>
      </c>
      <c r="H4" s="794" t="s">
        <v>1570</v>
      </c>
      <c r="I4" s="456"/>
      <c r="J4" s="550"/>
      <c r="K4" s="543"/>
      <c r="L4" s="565"/>
      <c r="M4" s="565"/>
      <c r="N4" s="567"/>
      <c r="O4" s="404"/>
      <c r="P4" s="404"/>
      <c r="Q4" s="404"/>
      <c r="R4" s="404"/>
    </row>
    <row r="5" spans="1:18" ht="18">
      <c r="A5" s="1598" t="s">
        <v>1039</v>
      </c>
      <c r="B5" s="1568"/>
      <c r="C5" s="1568"/>
      <c r="D5" s="1568"/>
      <c r="E5" s="795" t="s">
        <v>854</v>
      </c>
      <c r="F5" s="796" t="s">
        <v>1332</v>
      </c>
      <c r="G5" s="796" t="s">
        <v>1571</v>
      </c>
      <c r="H5" s="797"/>
      <c r="I5" s="456"/>
      <c r="J5" s="550"/>
      <c r="K5" s="543"/>
      <c r="L5" s="565"/>
      <c r="M5" s="565"/>
      <c r="N5" s="567"/>
      <c r="O5" s="404"/>
      <c r="P5" s="404"/>
      <c r="Q5" s="404"/>
      <c r="R5" s="404"/>
    </row>
    <row r="6" spans="1:18" ht="26.25" hidden="1" customHeight="1">
      <c r="A6" s="1599" t="s">
        <v>1026</v>
      </c>
      <c r="B6" s="1569"/>
      <c r="C6" s="1569"/>
      <c r="D6" s="1569"/>
      <c r="E6" s="1572"/>
      <c r="F6" s="1572"/>
      <c r="G6" s="1572"/>
      <c r="H6" s="789"/>
      <c r="I6" s="456"/>
      <c r="J6" s="550"/>
      <c r="K6" s="543"/>
      <c r="L6" s="565"/>
      <c r="M6" s="565"/>
      <c r="N6" s="567"/>
      <c r="O6" s="404"/>
      <c r="P6" s="404"/>
      <c r="Q6" s="404"/>
      <c r="R6" s="404"/>
    </row>
    <row r="7" spans="1:18" ht="15" hidden="1" customHeight="1">
      <c r="A7" s="1600"/>
      <c r="B7" s="1570"/>
      <c r="C7" s="1570"/>
      <c r="D7" s="1570"/>
      <c r="E7" s="1620"/>
      <c r="F7" s="1620"/>
      <c r="G7" s="1620"/>
      <c r="H7" s="798"/>
      <c r="I7" s="456"/>
      <c r="J7" s="550"/>
      <c r="K7" s="543"/>
      <c r="L7" s="565"/>
      <c r="M7" s="565"/>
      <c r="N7" s="567"/>
      <c r="O7" s="404"/>
      <c r="P7" s="404"/>
      <c r="Q7" s="404"/>
      <c r="R7" s="404"/>
    </row>
    <row r="8" spans="1:18" ht="23.25" hidden="1" customHeight="1">
      <c r="A8" s="1600"/>
      <c r="B8" s="1570"/>
      <c r="C8" s="1570"/>
      <c r="D8" s="1570"/>
      <c r="E8" s="1621"/>
      <c r="F8" s="1621"/>
      <c r="G8" s="1621"/>
      <c r="H8" s="799"/>
      <c r="I8" s="456"/>
      <c r="J8" s="550"/>
      <c r="K8" s="543"/>
      <c r="L8" s="565"/>
      <c r="M8" s="565"/>
      <c r="N8" s="567"/>
      <c r="O8" s="404"/>
      <c r="P8" s="404"/>
      <c r="Q8" s="404"/>
      <c r="R8" s="404"/>
    </row>
    <row r="9" spans="1:18" ht="15" hidden="1" customHeight="1">
      <c r="A9" s="1600"/>
      <c r="B9" s="1570"/>
      <c r="C9" s="1570"/>
      <c r="D9" s="1570"/>
      <c r="E9" s="1620"/>
      <c r="F9" s="1620"/>
      <c r="G9" s="1620"/>
      <c r="H9" s="798"/>
      <c r="I9" s="456"/>
      <c r="J9" s="550"/>
      <c r="K9" s="543"/>
      <c r="L9" s="565"/>
      <c r="M9" s="565"/>
      <c r="N9" s="567"/>
      <c r="O9" s="404"/>
      <c r="P9" s="404"/>
      <c r="Q9" s="404"/>
      <c r="R9" s="404"/>
    </row>
    <row r="10" spans="1:18" ht="15" hidden="1" customHeight="1">
      <c r="A10" s="1601"/>
      <c r="B10" s="1571"/>
      <c r="C10" s="1571"/>
      <c r="D10" s="1571"/>
      <c r="E10" s="1564"/>
      <c r="F10" s="1564"/>
      <c r="G10" s="1564"/>
      <c r="H10" s="790"/>
      <c r="I10" s="457"/>
      <c r="J10" s="551"/>
      <c r="K10" s="544"/>
      <c r="L10" s="565"/>
      <c r="M10" s="565"/>
      <c r="N10" s="567"/>
      <c r="O10" s="404"/>
      <c r="P10" s="404"/>
      <c r="Q10" s="404"/>
      <c r="R10" s="404"/>
    </row>
    <row r="11" spans="1:18" s="290" customFormat="1" ht="51">
      <c r="A11" s="405" t="s">
        <v>558</v>
      </c>
      <c r="B11" s="405" t="s">
        <v>557</v>
      </c>
      <c r="C11" s="405" t="s">
        <v>1331</v>
      </c>
      <c r="D11" s="520" t="s">
        <v>1330</v>
      </c>
      <c r="E11" s="519"/>
      <c r="F11" s="518"/>
      <c r="G11" s="518"/>
      <c r="H11" s="800"/>
      <c r="I11" s="458"/>
      <c r="J11" s="550" t="s">
        <v>1329</v>
      </c>
      <c r="K11" s="512" t="s">
        <v>1328</v>
      </c>
      <c r="L11" s="405" t="s">
        <v>1327</v>
      </c>
      <c r="M11" s="511" t="s">
        <v>1326</v>
      </c>
      <c r="N11" s="511" t="s">
        <v>1430</v>
      </c>
      <c r="O11" s="510"/>
      <c r="P11" s="594"/>
      <c r="Q11" s="510"/>
      <c r="R11" s="510"/>
    </row>
    <row r="12" spans="1:18" ht="33.75">
      <c r="A12" s="1549"/>
      <c r="B12" s="1549" t="s">
        <v>856</v>
      </c>
      <c r="C12" s="1550" t="s">
        <v>981</v>
      </c>
      <c r="D12" s="575" t="s">
        <v>1077</v>
      </c>
      <c r="E12" s="801"/>
      <c r="F12" s="801"/>
      <c r="G12" s="801"/>
      <c r="H12" s="802"/>
      <c r="I12" s="579"/>
      <c r="J12" s="580" t="s">
        <v>1325</v>
      </c>
      <c r="K12" s="581" t="s">
        <v>1324</v>
      </c>
      <c r="L12" s="582"/>
      <c r="M12" s="583"/>
      <c r="N12" s="567"/>
      <c r="O12" s="404"/>
      <c r="P12" s="404"/>
      <c r="Q12" s="404"/>
      <c r="R12" s="404"/>
    </row>
    <row r="13" spans="1:18" ht="22.5">
      <c r="A13" s="1549"/>
      <c r="B13" s="1549"/>
      <c r="C13" s="1550"/>
      <c r="D13" s="584" t="s">
        <v>1323</v>
      </c>
      <c r="E13" s="801" t="s">
        <v>587</v>
      </c>
      <c r="F13" s="801"/>
      <c r="G13" s="801" t="s">
        <v>587</v>
      </c>
      <c r="H13" s="802"/>
      <c r="I13" s="579"/>
      <c r="J13" s="580" t="s">
        <v>1322</v>
      </c>
      <c r="K13" s="581" t="s">
        <v>1397</v>
      </c>
      <c r="L13" s="582"/>
      <c r="M13" s="583"/>
      <c r="N13" s="567"/>
      <c r="O13" s="404"/>
      <c r="P13" s="404"/>
      <c r="Q13" s="404"/>
      <c r="R13" s="404"/>
    </row>
    <row r="14" spans="1:18" ht="22.5">
      <c r="A14" s="1549"/>
      <c r="B14" s="1549"/>
      <c r="C14" s="1550"/>
      <c r="D14" s="584" t="s">
        <v>1321</v>
      </c>
      <c r="E14" s="801"/>
      <c r="F14" s="801"/>
      <c r="G14" s="801" t="s">
        <v>587</v>
      </c>
      <c r="H14" s="802" t="s">
        <v>587</v>
      </c>
      <c r="I14" s="579"/>
      <c r="J14" s="581" t="s">
        <v>35</v>
      </c>
      <c r="K14" s="581" t="s">
        <v>1320</v>
      </c>
      <c r="L14" s="582"/>
      <c r="M14" s="583"/>
      <c r="N14" s="567"/>
      <c r="O14" s="404"/>
      <c r="P14" s="404"/>
      <c r="Q14" s="404"/>
      <c r="R14" s="404"/>
    </row>
    <row r="15" spans="1:18" ht="22.5">
      <c r="A15" s="1549"/>
      <c r="B15" s="1549"/>
      <c r="C15" s="1550"/>
      <c r="D15" s="584" t="s">
        <v>1319</v>
      </c>
      <c r="E15" s="801"/>
      <c r="F15" s="801"/>
      <c r="G15" s="801"/>
      <c r="H15" s="802"/>
      <c r="I15" s="579"/>
      <c r="J15" s="581" t="s">
        <v>1318</v>
      </c>
      <c r="K15" s="581" t="s">
        <v>1428</v>
      </c>
      <c r="L15" s="582"/>
      <c r="M15" s="583"/>
      <c r="N15" s="567"/>
      <c r="O15" s="404"/>
      <c r="P15" s="404"/>
      <c r="Q15" s="404"/>
      <c r="R15" s="404"/>
    </row>
    <row r="16" spans="1:18" ht="45">
      <c r="A16" s="1549"/>
      <c r="B16" s="1549"/>
      <c r="C16" s="1550"/>
      <c r="D16" s="584" t="s">
        <v>1317</v>
      </c>
      <c r="E16" s="801"/>
      <c r="F16" s="801"/>
      <c r="G16" s="801"/>
      <c r="H16" s="802"/>
      <c r="I16" s="579"/>
      <c r="J16" s="581" t="s">
        <v>1316</v>
      </c>
      <c r="K16" s="581" t="s">
        <v>1315</v>
      </c>
      <c r="L16" s="582"/>
      <c r="M16" s="583"/>
      <c r="N16" s="567"/>
      <c r="O16" s="404"/>
      <c r="P16" s="404"/>
      <c r="Q16" s="404"/>
      <c r="R16" s="404"/>
    </row>
    <row r="17" spans="1:18" ht="22.5">
      <c r="A17" s="1549"/>
      <c r="B17" s="1549"/>
      <c r="C17" s="1550"/>
      <c r="D17" s="584" t="s">
        <v>1314</v>
      </c>
      <c r="E17" s="801"/>
      <c r="F17" s="801"/>
      <c r="G17" s="801"/>
      <c r="H17" s="802"/>
      <c r="I17" s="579"/>
      <c r="J17" s="580" t="s">
        <v>1313</v>
      </c>
      <c r="K17" s="581" t="s">
        <v>1312</v>
      </c>
      <c r="L17" s="582"/>
      <c r="M17" s="583"/>
      <c r="N17" s="567"/>
      <c r="O17" s="404"/>
      <c r="P17" s="404"/>
      <c r="Q17" s="404"/>
      <c r="R17" s="404"/>
    </row>
    <row r="18" spans="1:18" ht="25.5">
      <c r="A18" s="1549"/>
      <c r="B18" s="1549"/>
      <c r="C18" s="1550"/>
      <c r="D18" s="584" t="s">
        <v>1311</v>
      </c>
      <c r="E18" s="801"/>
      <c r="F18" s="801"/>
      <c r="G18" s="801"/>
      <c r="H18" s="802"/>
      <c r="I18" s="579"/>
      <c r="J18" s="581" t="s">
        <v>979</v>
      </c>
      <c r="K18" s="587" t="s">
        <v>1310</v>
      </c>
      <c r="L18" s="582"/>
      <c r="M18" s="583"/>
      <c r="N18" s="567"/>
      <c r="O18" s="404"/>
      <c r="P18" s="404"/>
      <c r="Q18" s="404"/>
      <c r="R18" s="404"/>
    </row>
    <row r="19" spans="1:18" ht="22.5">
      <c r="A19" s="1549"/>
      <c r="B19" s="1549"/>
      <c r="C19" s="1550"/>
      <c r="D19" s="584" t="s">
        <v>1309</v>
      </c>
      <c r="E19" s="801"/>
      <c r="F19" s="801"/>
      <c r="G19" s="801"/>
      <c r="H19" s="802"/>
      <c r="I19" s="579"/>
      <c r="J19" s="581" t="s">
        <v>978</v>
      </c>
      <c r="K19" s="587" t="s">
        <v>1429</v>
      </c>
      <c r="L19" s="582"/>
      <c r="M19" s="583"/>
      <c r="N19" s="567"/>
      <c r="O19" s="404"/>
      <c r="P19" s="404"/>
      <c r="Q19" s="404"/>
      <c r="R19" s="404"/>
    </row>
    <row r="20" spans="1:18" ht="22.5">
      <c r="A20" s="1549"/>
      <c r="B20" s="1549"/>
      <c r="C20" s="1550"/>
      <c r="D20" s="584" t="s">
        <v>1308</v>
      </c>
      <c r="E20" s="801"/>
      <c r="F20" s="801"/>
      <c r="G20" s="801"/>
      <c r="H20" s="802"/>
      <c r="I20" s="579"/>
      <c r="J20" s="581" t="s">
        <v>980</v>
      </c>
      <c r="K20" s="587" t="s">
        <v>1398</v>
      </c>
      <c r="L20" s="582"/>
      <c r="M20" s="583"/>
      <c r="N20" s="567"/>
      <c r="O20" s="404"/>
      <c r="P20" s="404"/>
      <c r="Q20" s="404"/>
      <c r="R20" s="404"/>
    </row>
    <row r="21" spans="1:18" ht="25.5">
      <c r="A21" s="1549"/>
      <c r="B21" s="1549"/>
      <c r="C21" s="780" t="s">
        <v>1033</v>
      </c>
      <c r="D21" s="584" t="s">
        <v>1034</v>
      </c>
      <c r="E21" s="801"/>
      <c r="F21" s="801" t="s">
        <v>587</v>
      </c>
      <c r="G21" s="801"/>
      <c r="H21" s="802"/>
      <c r="I21" s="579"/>
      <c r="J21" s="588"/>
      <c r="K21" s="581" t="s">
        <v>1307</v>
      </c>
      <c r="L21" s="582"/>
      <c r="M21" s="583"/>
      <c r="N21" s="567"/>
      <c r="O21" s="404"/>
      <c r="P21" s="404"/>
      <c r="Q21" s="404"/>
      <c r="R21" s="404"/>
    </row>
    <row r="22" spans="1:18" ht="33.75">
      <c r="A22" s="1549"/>
      <c r="B22" s="1549"/>
      <c r="C22" s="780" t="s">
        <v>857</v>
      </c>
      <c r="D22" s="584" t="s">
        <v>1306</v>
      </c>
      <c r="E22" s="801" t="s">
        <v>587</v>
      </c>
      <c r="F22" s="801" t="s">
        <v>587</v>
      </c>
      <c r="G22" s="801"/>
      <c r="H22" s="802"/>
      <c r="I22" s="579"/>
      <c r="J22" s="580" t="s">
        <v>1305</v>
      </c>
      <c r="K22" s="581" t="s">
        <v>1304</v>
      </c>
      <c r="L22" s="582"/>
      <c r="M22" s="583"/>
      <c r="N22" s="567"/>
      <c r="O22" s="404"/>
      <c r="P22" s="404"/>
      <c r="Q22" s="404"/>
      <c r="R22" s="404"/>
    </row>
    <row r="23" spans="1:18" ht="25.5">
      <c r="A23" s="1549"/>
      <c r="B23" s="1549"/>
      <c r="C23" s="589" t="s">
        <v>1067</v>
      </c>
      <c r="D23" s="584" t="s">
        <v>1303</v>
      </c>
      <c r="E23" s="801"/>
      <c r="F23" s="801"/>
      <c r="G23" s="801"/>
      <c r="H23" s="802"/>
      <c r="I23" s="579"/>
      <c r="J23" s="580" t="s">
        <v>1302</v>
      </c>
      <c r="K23" s="581" t="s">
        <v>1301</v>
      </c>
      <c r="L23" s="582"/>
      <c r="M23" s="583"/>
      <c r="N23" s="567"/>
      <c r="O23" s="404"/>
      <c r="P23" s="404"/>
      <c r="Q23" s="404"/>
      <c r="R23" s="404"/>
    </row>
    <row r="24" spans="1:18" ht="45">
      <c r="A24" s="1551" t="s">
        <v>562</v>
      </c>
      <c r="B24" s="1551" t="s">
        <v>858</v>
      </c>
      <c r="C24" s="1519" t="s">
        <v>495</v>
      </c>
      <c r="D24" s="422" t="s">
        <v>1019</v>
      </c>
      <c r="E24" s="662" t="s">
        <v>562</v>
      </c>
      <c r="F24" s="662"/>
      <c r="G24" s="662"/>
      <c r="H24" s="803"/>
      <c r="I24" s="428"/>
      <c r="J24" s="528" t="s">
        <v>1300</v>
      </c>
      <c r="K24" s="494" t="s">
        <v>1299</v>
      </c>
      <c r="L24" s="538"/>
      <c r="M24" s="406"/>
      <c r="N24" s="567"/>
    </row>
    <row r="25" spans="1:18" ht="33.75">
      <c r="A25" s="1551"/>
      <c r="B25" s="1551"/>
      <c r="C25" s="1519"/>
      <c r="D25" s="422" t="s">
        <v>1298</v>
      </c>
      <c r="E25" s="662" t="s">
        <v>562</v>
      </c>
      <c r="F25" s="662" t="s">
        <v>587</v>
      </c>
      <c r="G25" s="662" t="s">
        <v>587</v>
      </c>
      <c r="H25" s="803"/>
      <c r="I25" s="428"/>
      <c r="J25" s="528" t="s">
        <v>1297</v>
      </c>
      <c r="K25" s="494" t="s">
        <v>1296</v>
      </c>
      <c r="L25" s="538"/>
      <c r="M25" s="406"/>
      <c r="N25" s="567"/>
    </row>
    <row r="26" spans="1:18" ht="33.75">
      <c r="A26" s="1551"/>
      <c r="B26" s="1551"/>
      <c r="C26" s="1519"/>
      <c r="D26" s="422" t="s">
        <v>1020</v>
      </c>
      <c r="E26" s="662" t="s">
        <v>562</v>
      </c>
      <c r="F26" s="662" t="s">
        <v>587</v>
      </c>
      <c r="G26" s="662" t="s">
        <v>587</v>
      </c>
      <c r="H26" s="803"/>
      <c r="I26" s="428"/>
      <c r="J26" s="528" t="s">
        <v>1295</v>
      </c>
      <c r="K26" s="494" t="s">
        <v>1399</v>
      </c>
      <c r="L26" s="538"/>
      <c r="M26" s="406"/>
      <c r="N26" s="567"/>
    </row>
    <row r="27" spans="1:18" ht="123.75">
      <c r="A27" s="1551"/>
      <c r="B27" s="1551"/>
      <c r="C27" s="781" t="s">
        <v>1016</v>
      </c>
      <c r="D27" s="422" t="s">
        <v>1294</v>
      </c>
      <c r="E27" s="662" t="s">
        <v>562</v>
      </c>
      <c r="F27" s="662" t="s">
        <v>587</v>
      </c>
      <c r="G27" s="662" t="s">
        <v>587</v>
      </c>
      <c r="H27" s="803"/>
      <c r="I27" s="428"/>
      <c r="J27" s="494" t="s">
        <v>1293</v>
      </c>
      <c r="K27" s="548" t="s">
        <v>1292</v>
      </c>
      <c r="L27" s="538"/>
      <c r="M27" s="406"/>
      <c r="N27" s="567"/>
    </row>
    <row r="28" spans="1:18" ht="51">
      <c r="A28" s="1551"/>
      <c r="B28" s="1551"/>
      <c r="C28" s="781" t="s">
        <v>1344</v>
      </c>
      <c r="D28" s="422" t="s">
        <v>1345</v>
      </c>
      <c r="E28" s="662" t="s">
        <v>587</v>
      </c>
      <c r="F28" s="662"/>
      <c r="G28" s="662"/>
      <c r="H28" s="803"/>
      <c r="I28" s="428"/>
      <c r="J28" s="528"/>
      <c r="K28" s="548" t="s">
        <v>1346</v>
      </c>
      <c r="L28" s="538"/>
      <c r="M28" s="406"/>
      <c r="N28" s="567"/>
    </row>
    <row r="29" spans="1:18" ht="63.75">
      <c r="A29" s="1551"/>
      <c r="B29" s="1551"/>
      <c r="C29" s="781" t="s">
        <v>1078</v>
      </c>
      <c r="D29" s="422" t="s">
        <v>1291</v>
      </c>
      <c r="E29" s="662" t="s">
        <v>587</v>
      </c>
      <c r="F29" s="662" t="s">
        <v>587</v>
      </c>
      <c r="G29" s="662"/>
      <c r="H29" s="803"/>
      <c r="I29" s="428"/>
      <c r="J29" s="528" t="s">
        <v>1290</v>
      </c>
      <c r="K29" s="494" t="s">
        <v>1289</v>
      </c>
      <c r="L29" s="538"/>
      <c r="M29" s="406"/>
      <c r="N29" s="567"/>
    </row>
    <row r="30" spans="1:18" ht="38.25">
      <c r="A30" s="1551"/>
      <c r="B30" s="1551"/>
      <c r="C30" s="781" t="s">
        <v>1055</v>
      </c>
      <c r="D30" s="422" t="s">
        <v>1288</v>
      </c>
      <c r="E30" s="662"/>
      <c r="F30" s="662"/>
      <c r="G30" s="662" t="s">
        <v>562</v>
      </c>
      <c r="H30" s="803" t="s">
        <v>562</v>
      </c>
      <c r="I30" s="428"/>
      <c r="J30" s="528" t="s">
        <v>1287</v>
      </c>
      <c r="K30" s="494" t="s">
        <v>1286</v>
      </c>
      <c r="L30" s="538"/>
      <c r="M30" s="406"/>
      <c r="N30" s="567"/>
    </row>
    <row r="31" spans="1:18" ht="51">
      <c r="A31" s="1551"/>
      <c r="B31" s="1551"/>
      <c r="C31" s="781" t="s">
        <v>1054</v>
      </c>
      <c r="D31" s="422" t="s">
        <v>1283</v>
      </c>
      <c r="E31" s="662" t="s">
        <v>587</v>
      </c>
      <c r="F31" s="662"/>
      <c r="G31" s="662"/>
      <c r="H31" s="803"/>
      <c r="I31" s="428"/>
      <c r="J31" s="528" t="s">
        <v>1282</v>
      </c>
      <c r="K31" s="494" t="s">
        <v>1285</v>
      </c>
      <c r="L31" s="538"/>
      <c r="M31" s="406"/>
      <c r="N31" s="567"/>
    </row>
    <row r="32" spans="1:18" ht="51">
      <c r="A32" s="1551"/>
      <c r="B32" s="1551"/>
      <c r="C32" s="781" t="s">
        <v>998</v>
      </c>
      <c r="D32" s="422" t="s">
        <v>1283</v>
      </c>
      <c r="E32" s="662"/>
      <c r="F32" s="662"/>
      <c r="G32" s="662"/>
      <c r="H32" s="803"/>
      <c r="I32" s="428"/>
      <c r="J32" s="528" t="s">
        <v>1282</v>
      </c>
      <c r="K32" s="494" t="s">
        <v>1284</v>
      </c>
      <c r="L32" s="538"/>
      <c r="M32" s="406"/>
      <c r="N32" s="567"/>
    </row>
    <row r="33" spans="1:14" ht="25.5">
      <c r="A33" s="1551"/>
      <c r="B33" s="1551"/>
      <c r="C33" s="781" t="s">
        <v>1076</v>
      </c>
      <c r="D33" s="422" t="s">
        <v>1283</v>
      </c>
      <c r="E33" s="662"/>
      <c r="F33" s="662" t="s">
        <v>587</v>
      </c>
      <c r="G33" s="662"/>
      <c r="H33" s="803"/>
      <c r="I33" s="428"/>
      <c r="J33" s="528" t="s">
        <v>1282</v>
      </c>
      <c r="K33" s="494" t="s">
        <v>1281</v>
      </c>
      <c r="L33" s="538"/>
      <c r="M33" s="406"/>
      <c r="N33" s="567"/>
    </row>
    <row r="34" spans="1:14" ht="51">
      <c r="A34" s="1551"/>
      <c r="B34" s="1551"/>
      <c r="C34" s="781" t="s">
        <v>965</v>
      </c>
      <c r="D34" s="422" t="s">
        <v>1280</v>
      </c>
      <c r="E34" s="662"/>
      <c r="F34" s="662"/>
      <c r="G34" s="662"/>
      <c r="H34" s="803"/>
      <c r="I34" s="428"/>
      <c r="J34" s="528" t="s">
        <v>1400</v>
      </c>
      <c r="K34" s="494" t="s">
        <v>1401</v>
      </c>
      <c r="L34" s="538"/>
      <c r="M34" s="406"/>
      <c r="N34" s="567"/>
    </row>
    <row r="35" spans="1:14" ht="25.5">
      <c r="A35" s="1551"/>
      <c r="B35" s="1551"/>
      <c r="C35" s="781" t="s">
        <v>999</v>
      </c>
      <c r="D35" s="422" t="s">
        <v>1279</v>
      </c>
      <c r="E35" s="662"/>
      <c r="F35" s="662" t="s">
        <v>587</v>
      </c>
      <c r="G35" s="662" t="s">
        <v>587</v>
      </c>
      <c r="H35" s="803" t="s">
        <v>587</v>
      </c>
      <c r="I35" s="428"/>
      <c r="J35" s="528" t="s">
        <v>1278</v>
      </c>
      <c r="K35" s="494" t="s">
        <v>1402</v>
      </c>
      <c r="L35" s="538"/>
      <c r="M35" s="406"/>
      <c r="N35" s="567"/>
    </row>
    <row r="36" spans="1:14" ht="25.5">
      <c r="A36" s="1551"/>
      <c r="B36" s="1551"/>
      <c r="C36" s="1520" t="s">
        <v>1075</v>
      </c>
      <c r="D36" s="422" t="s">
        <v>1277</v>
      </c>
      <c r="E36" s="662"/>
      <c r="F36" s="662"/>
      <c r="G36" s="662"/>
      <c r="H36" s="803"/>
      <c r="I36" s="428"/>
      <c r="J36" s="528" t="s">
        <v>1276</v>
      </c>
      <c r="K36" s="494"/>
      <c r="L36" s="538"/>
      <c r="M36" s="406"/>
      <c r="N36" s="567"/>
    </row>
    <row r="37" spans="1:14" ht="38.25">
      <c r="A37" s="1551"/>
      <c r="B37" s="1551"/>
      <c r="C37" s="1552"/>
      <c r="D37" s="422" t="s">
        <v>1275</v>
      </c>
      <c r="E37" s="662"/>
      <c r="F37" s="662"/>
      <c r="G37" s="662"/>
      <c r="H37" s="803"/>
      <c r="I37" s="428"/>
      <c r="J37" s="528" t="s">
        <v>1274</v>
      </c>
      <c r="K37" s="494" t="s">
        <v>1273</v>
      </c>
      <c r="L37" s="538"/>
      <c r="M37" s="406"/>
      <c r="N37" s="567"/>
    </row>
    <row r="38" spans="1:14" ht="90">
      <c r="A38" s="1551"/>
      <c r="B38" s="1551"/>
      <c r="C38" s="781" t="s">
        <v>1053</v>
      </c>
      <c r="D38" s="422" t="s">
        <v>1272</v>
      </c>
      <c r="E38" s="662"/>
      <c r="F38" s="662" t="s">
        <v>587</v>
      </c>
      <c r="G38" s="662" t="s">
        <v>587</v>
      </c>
      <c r="H38" s="803"/>
      <c r="I38" s="428"/>
      <c r="J38" s="528" t="s">
        <v>1271</v>
      </c>
      <c r="K38" s="494" t="s">
        <v>1270</v>
      </c>
      <c r="L38" s="538"/>
      <c r="M38" s="406"/>
      <c r="N38" s="567"/>
    </row>
    <row r="39" spans="1:14" ht="25.5">
      <c r="A39" s="1528" t="s">
        <v>587</v>
      </c>
      <c r="B39" s="1528" t="s">
        <v>1038</v>
      </c>
      <c r="C39" s="1531" t="s">
        <v>1024</v>
      </c>
      <c r="D39" s="425" t="s">
        <v>1269</v>
      </c>
      <c r="E39" s="664"/>
      <c r="F39" s="664"/>
      <c r="G39" s="664"/>
      <c r="H39" s="804"/>
      <c r="I39" s="429"/>
      <c r="J39" s="552"/>
      <c r="K39" s="500"/>
      <c r="L39" s="539"/>
      <c r="M39" s="568"/>
      <c r="N39" s="567"/>
    </row>
    <row r="40" spans="1:14" ht="45">
      <c r="A40" s="1529"/>
      <c r="B40" s="1529"/>
      <c r="C40" s="1532"/>
      <c r="D40" s="425" t="s">
        <v>1074</v>
      </c>
      <c r="E40" s="664"/>
      <c r="F40" s="664"/>
      <c r="G40" s="664" t="s">
        <v>562</v>
      </c>
      <c r="H40" s="804"/>
      <c r="I40" s="429"/>
      <c r="J40" s="553" t="s">
        <v>1268</v>
      </c>
      <c r="K40" s="500" t="s">
        <v>1267</v>
      </c>
      <c r="L40" s="539"/>
      <c r="M40" s="568"/>
      <c r="N40" s="567"/>
    </row>
    <row r="41" spans="1:14" ht="51">
      <c r="A41" s="1529"/>
      <c r="B41" s="1529"/>
      <c r="C41" s="331" t="s">
        <v>1266</v>
      </c>
      <c r="D41" s="425" t="s">
        <v>1265</v>
      </c>
      <c r="E41" s="664" t="s">
        <v>587</v>
      </c>
      <c r="F41" s="664"/>
      <c r="G41" s="664" t="s">
        <v>562</v>
      </c>
      <c r="H41" s="804"/>
      <c r="I41" s="429"/>
      <c r="J41" s="553" t="s">
        <v>1264</v>
      </c>
      <c r="K41" s="545" t="s">
        <v>1403</v>
      </c>
      <c r="L41" s="539"/>
      <c r="M41" s="568"/>
      <c r="N41" s="567"/>
    </row>
    <row r="42" spans="1:14" ht="51">
      <c r="A42" s="1529"/>
      <c r="B42" s="1529"/>
      <c r="C42" s="331" t="s">
        <v>1263</v>
      </c>
      <c r="D42" s="425" t="s">
        <v>1404</v>
      </c>
      <c r="E42" s="664"/>
      <c r="F42" s="664"/>
      <c r="G42" s="664"/>
      <c r="H42" s="804"/>
      <c r="I42" s="429"/>
      <c r="J42" s="553" t="s">
        <v>1262</v>
      </c>
      <c r="K42" s="545" t="s">
        <v>1261</v>
      </c>
      <c r="L42" s="539"/>
      <c r="M42" s="568"/>
      <c r="N42" s="567"/>
    </row>
    <row r="43" spans="1:14" ht="33.75">
      <c r="A43" s="1529"/>
      <c r="B43" s="1529"/>
      <c r="C43" s="331" t="s">
        <v>1260</v>
      </c>
      <c r="D43" s="425" t="s">
        <v>1259</v>
      </c>
      <c r="E43" s="664"/>
      <c r="F43" s="664"/>
      <c r="G43" s="664"/>
      <c r="H43" s="804"/>
      <c r="I43" s="429"/>
      <c r="J43" s="552"/>
      <c r="K43" s="500" t="s">
        <v>1258</v>
      </c>
      <c r="L43" s="539"/>
      <c r="M43" s="568"/>
      <c r="N43" s="567"/>
    </row>
    <row r="44" spans="1:14" ht="25.5">
      <c r="A44" s="1529"/>
      <c r="B44" s="1529"/>
      <c r="C44" s="331" t="s">
        <v>1257</v>
      </c>
      <c r="D44" s="425" t="s">
        <v>1256</v>
      </c>
      <c r="E44" s="664"/>
      <c r="F44" s="664"/>
      <c r="G44" s="664"/>
      <c r="H44" s="804"/>
      <c r="I44" s="429"/>
      <c r="J44" s="552"/>
      <c r="K44" s="500" t="s">
        <v>1255</v>
      </c>
      <c r="L44" s="539"/>
      <c r="M44" s="568"/>
      <c r="N44" s="567"/>
    </row>
    <row r="45" spans="1:14" ht="38.25">
      <c r="A45" s="1529"/>
      <c r="B45" s="1529"/>
      <c r="C45" s="331" t="s">
        <v>1254</v>
      </c>
      <c r="D45" s="425" t="s">
        <v>1253</v>
      </c>
      <c r="E45" s="664"/>
      <c r="F45" s="664"/>
      <c r="G45" s="664"/>
      <c r="H45" s="804"/>
      <c r="I45" s="429"/>
      <c r="J45" s="552"/>
      <c r="K45" s="500" t="s">
        <v>1252</v>
      </c>
      <c r="L45" s="539"/>
      <c r="M45" s="568"/>
      <c r="N45" s="567"/>
    </row>
    <row r="46" spans="1:14" ht="45">
      <c r="A46" s="1529"/>
      <c r="B46" s="1529"/>
      <c r="C46" s="331" t="s">
        <v>1011</v>
      </c>
      <c r="D46" s="425" t="s">
        <v>1251</v>
      </c>
      <c r="E46" s="664"/>
      <c r="F46" s="664" t="s">
        <v>587</v>
      </c>
      <c r="G46" s="664" t="s">
        <v>562</v>
      </c>
      <c r="H46" s="804"/>
      <c r="I46" s="429"/>
      <c r="J46" s="553" t="s">
        <v>1250</v>
      </c>
      <c r="K46" s="500" t="s">
        <v>1249</v>
      </c>
      <c r="L46" s="539"/>
      <c r="M46" s="568"/>
      <c r="N46" s="567"/>
    </row>
    <row r="47" spans="1:14" ht="45">
      <c r="A47" s="1529"/>
      <c r="B47" s="1529"/>
      <c r="C47" s="331" t="s">
        <v>1248</v>
      </c>
      <c r="D47" s="425" t="s">
        <v>1247</v>
      </c>
      <c r="E47" s="664"/>
      <c r="F47" s="664"/>
      <c r="G47" s="664"/>
      <c r="H47" s="804"/>
      <c r="I47" s="429"/>
      <c r="J47" s="552"/>
      <c r="K47" s="500" t="s">
        <v>1246</v>
      </c>
      <c r="L47" s="539"/>
      <c r="M47" s="568"/>
      <c r="N47" s="567"/>
    </row>
    <row r="48" spans="1:14" ht="25.5">
      <c r="A48" s="1529"/>
      <c r="B48" s="1529"/>
      <c r="C48" s="331" t="s">
        <v>505</v>
      </c>
      <c r="D48" s="425" t="s">
        <v>1245</v>
      </c>
      <c r="E48" s="664"/>
      <c r="F48" s="664"/>
      <c r="G48" s="664"/>
      <c r="H48" s="804"/>
      <c r="I48" s="429"/>
      <c r="J48" s="552"/>
      <c r="K48" s="500" t="s">
        <v>1244</v>
      </c>
      <c r="L48" s="539"/>
      <c r="M48" s="568"/>
      <c r="N48" s="567"/>
    </row>
    <row r="49" spans="1:14" ht="33.75">
      <c r="A49" s="1529"/>
      <c r="B49" s="1529"/>
      <c r="C49" s="331" t="s">
        <v>1010</v>
      </c>
      <c r="D49" s="425" t="s">
        <v>1243</v>
      </c>
      <c r="E49" s="664"/>
      <c r="F49" s="664"/>
      <c r="G49" s="664"/>
      <c r="H49" s="804"/>
      <c r="I49" s="429"/>
      <c r="J49" s="552"/>
      <c r="K49" s="500" t="s">
        <v>1405</v>
      </c>
      <c r="L49" s="539"/>
      <c r="M49" s="568"/>
      <c r="N49" s="567"/>
    </row>
    <row r="50" spans="1:14" ht="51">
      <c r="A50" s="1529"/>
      <c r="B50" s="1529"/>
      <c r="C50" s="331" t="s">
        <v>507</v>
      </c>
      <c r="D50" s="425" t="s">
        <v>1242</v>
      </c>
      <c r="E50" s="664"/>
      <c r="F50" s="664"/>
      <c r="G50" s="664"/>
      <c r="H50" s="804"/>
      <c r="I50" s="429"/>
      <c r="J50" s="552"/>
      <c r="K50" s="500" t="s">
        <v>1406</v>
      </c>
      <c r="L50" s="539"/>
      <c r="M50" s="568"/>
      <c r="N50" s="567"/>
    </row>
    <row r="51" spans="1:14" ht="38.25">
      <c r="A51" s="1529"/>
      <c r="B51" s="1529"/>
      <c r="C51" s="331" t="s">
        <v>967</v>
      </c>
      <c r="D51" s="425" t="s">
        <v>1241</v>
      </c>
      <c r="E51" s="664"/>
      <c r="F51" s="664"/>
      <c r="G51" s="664"/>
      <c r="H51" s="804"/>
      <c r="I51" s="429"/>
      <c r="J51" s="553" t="s">
        <v>1240</v>
      </c>
      <c r="K51" s="500" t="s">
        <v>1239</v>
      </c>
      <c r="L51" s="539"/>
      <c r="M51" s="568"/>
      <c r="N51" s="567"/>
    </row>
    <row r="52" spans="1:14" ht="38.25">
      <c r="A52" s="1530"/>
      <c r="B52" s="1530"/>
      <c r="C52" s="338" t="s">
        <v>982</v>
      </c>
      <c r="D52" s="426" t="s">
        <v>1238</v>
      </c>
      <c r="E52" s="664"/>
      <c r="F52" s="664"/>
      <c r="G52" s="664"/>
      <c r="H52" s="804"/>
      <c r="I52" s="429"/>
      <c r="J52" s="552"/>
      <c r="K52" s="546" t="s">
        <v>1237</v>
      </c>
      <c r="L52" s="539"/>
      <c r="M52" s="568"/>
      <c r="N52" s="567"/>
    </row>
    <row r="53" spans="1:14" ht="12.75">
      <c r="A53" s="1536" t="s">
        <v>562</v>
      </c>
      <c r="B53" s="1536" t="s">
        <v>577</v>
      </c>
      <c r="C53" s="1537" t="s">
        <v>983</v>
      </c>
      <c r="D53" s="423" t="s">
        <v>859</v>
      </c>
      <c r="E53" s="659" t="s">
        <v>587</v>
      </c>
      <c r="F53" s="659" t="s">
        <v>562</v>
      </c>
      <c r="G53" s="659"/>
      <c r="H53" s="666"/>
      <c r="I53" s="430"/>
      <c r="J53" s="1523" t="s">
        <v>1236</v>
      </c>
      <c r="K53" s="1523" t="s">
        <v>1235</v>
      </c>
      <c r="L53" s="490"/>
      <c r="M53" s="569"/>
      <c r="N53" s="567"/>
    </row>
    <row r="54" spans="1:14" ht="12.75">
      <c r="A54" s="1536"/>
      <c r="B54" s="1536"/>
      <c r="C54" s="1538"/>
      <c r="D54" s="423" t="s">
        <v>860</v>
      </c>
      <c r="E54" s="659" t="s">
        <v>587</v>
      </c>
      <c r="F54" s="659" t="s">
        <v>562</v>
      </c>
      <c r="G54" s="659"/>
      <c r="H54" s="666"/>
      <c r="I54" s="430"/>
      <c r="J54" s="1545"/>
      <c r="K54" s="1545"/>
      <c r="L54" s="490"/>
      <c r="M54" s="569"/>
      <c r="N54" s="567"/>
    </row>
    <row r="55" spans="1:14" ht="12.75">
      <c r="A55" s="1536"/>
      <c r="B55" s="1536"/>
      <c r="C55" s="1538"/>
      <c r="D55" s="423" t="s">
        <v>861</v>
      </c>
      <c r="E55" s="659" t="s">
        <v>587</v>
      </c>
      <c r="F55" s="659" t="s">
        <v>562</v>
      </c>
      <c r="G55" s="659" t="s">
        <v>562</v>
      </c>
      <c r="H55" s="666"/>
      <c r="I55" s="430"/>
      <c r="J55" s="1545"/>
      <c r="K55" s="1545"/>
      <c r="L55" s="490"/>
      <c r="M55" s="569"/>
      <c r="N55" s="567"/>
    </row>
    <row r="56" spans="1:14" ht="12.75">
      <c r="A56" s="1536"/>
      <c r="B56" s="1536"/>
      <c r="C56" s="1538"/>
      <c r="D56" s="423" t="s">
        <v>862</v>
      </c>
      <c r="E56" s="659" t="s">
        <v>587</v>
      </c>
      <c r="F56" s="659" t="s">
        <v>562</v>
      </c>
      <c r="G56" s="659"/>
      <c r="H56" s="666"/>
      <c r="I56" s="430"/>
      <c r="J56" s="1545"/>
      <c r="K56" s="1545"/>
      <c r="L56" s="490"/>
      <c r="M56" s="569"/>
      <c r="N56" s="567"/>
    </row>
    <row r="57" spans="1:14" ht="12.75">
      <c r="A57" s="1536"/>
      <c r="B57" s="1536"/>
      <c r="C57" s="1538"/>
      <c r="D57" s="423" t="s">
        <v>863</v>
      </c>
      <c r="E57" s="659" t="s">
        <v>587</v>
      </c>
      <c r="F57" s="659" t="s">
        <v>562</v>
      </c>
      <c r="G57" s="659"/>
      <c r="H57" s="666"/>
      <c r="I57" s="430"/>
      <c r="J57" s="1545"/>
      <c r="K57" s="1545"/>
      <c r="L57" s="490"/>
      <c r="M57" s="569"/>
      <c r="N57" s="567"/>
    </row>
    <row r="58" spans="1:14" ht="12.75">
      <c r="A58" s="1536"/>
      <c r="B58" s="1536"/>
      <c r="C58" s="1539"/>
      <c r="D58" s="423" t="s">
        <v>864</v>
      </c>
      <c r="E58" s="659" t="s">
        <v>587</v>
      </c>
      <c r="F58" s="659" t="s">
        <v>562</v>
      </c>
      <c r="G58" s="659" t="s">
        <v>562</v>
      </c>
      <c r="H58" s="805"/>
      <c r="I58" s="430"/>
      <c r="J58" s="1524"/>
      <c r="K58" s="1524"/>
      <c r="L58" s="490"/>
      <c r="M58" s="569"/>
      <c r="N58" s="567"/>
    </row>
    <row r="59" spans="1:14" ht="12.75">
      <c r="A59" s="1536"/>
      <c r="B59" s="1536"/>
      <c r="C59" s="1522" t="s">
        <v>1021</v>
      </c>
      <c r="D59" s="423" t="s">
        <v>985</v>
      </c>
      <c r="E59" s="659" t="s">
        <v>587</v>
      </c>
      <c r="F59" s="659" t="s">
        <v>587</v>
      </c>
      <c r="G59" s="659" t="s">
        <v>562</v>
      </c>
      <c r="H59" s="805"/>
      <c r="I59" s="430"/>
      <c r="J59" s="1523" t="s">
        <v>1234</v>
      </c>
      <c r="K59" s="1523" t="s">
        <v>1233</v>
      </c>
      <c r="L59" s="490"/>
      <c r="M59" s="569"/>
      <c r="N59" s="567"/>
    </row>
    <row r="60" spans="1:14" ht="12.75">
      <c r="A60" s="1536"/>
      <c r="B60" s="1536"/>
      <c r="C60" s="1522"/>
      <c r="D60" s="423" t="s">
        <v>861</v>
      </c>
      <c r="E60" s="659" t="s">
        <v>587</v>
      </c>
      <c r="F60" s="659" t="s">
        <v>587</v>
      </c>
      <c r="G60" s="659" t="s">
        <v>562</v>
      </c>
      <c r="H60" s="805"/>
      <c r="I60" s="430"/>
      <c r="J60" s="1545"/>
      <c r="K60" s="1545"/>
      <c r="L60" s="490"/>
      <c r="M60" s="569"/>
      <c r="N60" s="567"/>
    </row>
    <row r="61" spans="1:14" ht="12.75">
      <c r="A61" s="1536"/>
      <c r="B61" s="1536"/>
      <c r="C61" s="1522"/>
      <c r="D61" s="423" t="s">
        <v>860</v>
      </c>
      <c r="E61" s="659" t="s">
        <v>587</v>
      </c>
      <c r="F61" s="659" t="s">
        <v>587</v>
      </c>
      <c r="G61" s="659"/>
      <c r="H61" s="805"/>
      <c r="I61" s="430"/>
      <c r="J61" s="1545"/>
      <c r="K61" s="1545"/>
      <c r="L61" s="490"/>
      <c r="M61" s="569"/>
      <c r="N61" s="567"/>
    </row>
    <row r="62" spans="1:14" ht="12.75">
      <c r="A62" s="1536"/>
      <c r="B62" s="1536"/>
      <c r="C62" s="1522"/>
      <c r="D62" s="423" t="s">
        <v>859</v>
      </c>
      <c r="E62" s="659" t="s">
        <v>587</v>
      </c>
      <c r="F62" s="659" t="s">
        <v>587</v>
      </c>
      <c r="G62" s="659"/>
      <c r="H62" s="805"/>
      <c r="I62" s="430"/>
      <c r="J62" s="1545"/>
      <c r="K62" s="1545"/>
      <c r="L62" s="490"/>
      <c r="M62" s="569"/>
      <c r="N62" s="567"/>
    </row>
    <row r="63" spans="1:14" ht="25.5">
      <c r="A63" s="1536"/>
      <c r="B63" s="1536"/>
      <c r="C63" s="1522"/>
      <c r="D63" s="423" t="s">
        <v>984</v>
      </c>
      <c r="E63" s="659" t="s">
        <v>587</v>
      </c>
      <c r="F63" s="659" t="s">
        <v>587</v>
      </c>
      <c r="G63" s="659"/>
      <c r="H63" s="805"/>
      <c r="I63" s="430"/>
      <c r="J63" s="1545"/>
      <c r="K63" s="1545"/>
      <c r="L63" s="490"/>
      <c r="M63" s="569"/>
      <c r="N63" s="567"/>
    </row>
    <row r="64" spans="1:14" ht="12.75">
      <c r="A64" s="1536"/>
      <c r="B64" s="1536"/>
      <c r="C64" s="1522"/>
      <c r="D64" s="423" t="s">
        <v>863</v>
      </c>
      <c r="E64" s="659" t="s">
        <v>587</v>
      </c>
      <c r="F64" s="659" t="s">
        <v>587</v>
      </c>
      <c r="G64" s="659"/>
      <c r="H64" s="805"/>
      <c r="I64" s="430"/>
      <c r="J64" s="1545"/>
      <c r="K64" s="1545"/>
      <c r="L64" s="490"/>
      <c r="M64" s="569"/>
      <c r="N64" s="567"/>
    </row>
    <row r="65" spans="1:14" ht="12.75">
      <c r="A65" s="1536"/>
      <c r="B65" s="1536"/>
      <c r="C65" s="1522"/>
      <c r="D65" s="423" t="s">
        <v>862</v>
      </c>
      <c r="E65" s="659" t="s">
        <v>587</v>
      </c>
      <c r="F65" s="659" t="s">
        <v>587</v>
      </c>
      <c r="G65" s="659"/>
      <c r="H65" s="805"/>
      <c r="I65" s="430"/>
      <c r="J65" s="1524"/>
      <c r="K65" s="1524"/>
      <c r="L65" s="490"/>
      <c r="M65" s="569"/>
      <c r="N65" s="567"/>
    </row>
    <row r="66" spans="1:14" ht="25.5">
      <c r="A66" s="1536"/>
      <c r="B66" s="1536"/>
      <c r="C66" s="1522" t="s">
        <v>1027</v>
      </c>
      <c r="D66" s="423" t="s">
        <v>1232</v>
      </c>
      <c r="E66" s="659"/>
      <c r="F66" s="659" t="s">
        <v>587</v>
      </c>
      <c r="G66" s="659"/>
      <c r="H66" s="805"/>
      <c r="I66" s="430"/>
      <c r="J66" s="1523" t="s">
        <v>513</v>
      </c>
      <c r="K66" s="1548" t="s">
        <v>1407</v>
      </c>
      <c r="L66" s="490"/>
      <c r="M66" s="569"/>
      <c r="N66" s="567"/>
    </row>
    <row r="67" spans="1:14" ht="25.5">
      <c r="A67" s="1536"/>
      <c r="B67" s="1536"/>
      <c r="C67" s="1522"/>
      <c r="D67" s="423" t="s">
        <v>1231</v>
      </c>
      <c r="E67" s="659"/>
      <c r="F67" s="659" t="s">
        <v>587</v>
      </c>
      <c r="G67" s="659"/>
      <c r="H67" s="805"/>
      <c r="I67" s="430"/>
      <c r="J67" s="1524"/>
      <c r="K67" s="1548"/>
      <c r="L67" s="490"/>
      <c r="M67" s="569"/>
      <c r="N67" s="567"/>
    </row>
    <row r="68" spans="1:14" ht="67.5">
      <c r="A68" s="1536"/>
      <c r="B68" s="1536"/>
      <c r="C68" s="782" t="s">
        <v>1079</v>
      </c>
      <c r="D68" s="423" t="s">
        <v>1230</v>
      </c>
      <c r="E68" s="659" t="s">
        <v>587</v>
      </c>
      <c r="F68" s="659" t="s">
        <v>562</v>
      </c>
      <c r="G68" s="659"/>
      <c r="H68" s="805"/>
      <c r="I68" s="430"/>
      <c r="J68" s="783" t="s">
        <v>1229</v>
      </c>
      <c r="K68" s="783" t="s">
        <v>1228</v>
      </c>
      <c r="L68" s="490"/>
      <c r="M68" s="569"/>
      <c r="N68" s="567"/>
    </row>
    <row r="69" spans="1:14" ht="76.5">
      <c r="A69" s="1536"/>
      <c r="B69" s="1536"/>
      <c r="C69" s="782" t="s">
        <v>1227</v>
      </c>
      <c r="D69" s="423" t="s">
        <v>1408</v>
      </c>
      <c r="E69" s="659" t="s">
        <v>562</v>
      </c>
      <c r="F69" s="659" t="s">
        <v>562</v>
      </c>
      <c r="G69" s="659" t="s">
        <v>562</v>
      </c>
      <c r="H69" s="805"/>
      <c r="I69" s="430"/>
      <c r="J69" s="783" t="s">
        <v>1226</v>
      </c>
      <c r="K69" s="783" t="s">
        <v>1409</v>
      </c>
      <c r="L69" s="490"/>
      <c r="M69" s="569"/>
      <c r="N69" s="567"/>
    </row>
    <row r="70" spans="1:14" ht="25.5">
      <c r="A70" s="1536"/>
      <c r="B70" s="1536"/>
      <c r="C70" s="1522" t="s">
        <v>1025</v>
      </c>
      <c r="D70" s="423" t="s">
        <v>1410</v>
      </c>
      <c r="E70" s="659"/>
      <c r="F70" s="659"/>
      <c r="G70" s="659"/>
      <c r="H70" s="805"/>
      <c r="I70" s="430"/>
      <c r="J70" s="783" t="s">
        <v>1225</v>
      </c>
      <c r="K70" s="1523" t="s">
        <v>1224</v>
      </c>
      <c r="L70" s="490"/>
      <c r="M70" s="569"/>
      <c r="N70" s="567"/>
    </row>
    <row r="71" spans="1:14" ht="12.75">
      <c r="A71" s="1536"/>
      <c r="B71" s="1536"/>
      <c r="C71" s="1522"/>
      <c r="D71" s="423" t="s">
        <v>1013</v>
      </c>
      <c r="E71" s="659"/>
      <c r="F71" s="659"/>
      <c r="G71" s="659"/>
      <c r="H71" s="805"/>
      <c r="I71" s="430"/>
      <c r="J71" s="783"/>
      <c r="K71" s="1524"/>
      <c r="L71" s="490"/>
      <c r="M71" s="569"/>
      <c r="N71" s="567"/>
    </row>
    <row r="72" spans="1:14" ht="25.5">
      <c r="A72" s="1536"/>
      <c r="B72" s="1536"/>
      <c r="C72" s="782" t="s">
        <v>1223</v>
      </c>
      <c r="D72" s="423" t="s">
        <v>1222</v>
      </c>
      <c r="E72" s="659"/>
      <c r="F72" s="659"/>
      <c r="G72" s="659"/>
      <c r="H72" s="805"/>
      <c r="I72" s="430"/>
      <c r="J72" s="783" t="s">
        <v>1221</v>
      </c>
      <c r="K72" s="783" t="s">
        <v>1220</v>
      </c>
      <c r="L72" s="490"/>
      <c r="M72" s="569"/>
      <c r="N72" s="567"/>
    </row>
    <row r="73" spans="1:14" ht="38.25">
      <c r="A73" s="1536"/>
      <c r="B73" s="1536"/>
      <c r="C73" s="782" t="s">
        <v>1069</v>
      </c>
      <c r="D73" s="423" t="s">
        <v>1219</v>
      </c>
      <c r="E73" s="659"/>
      <c r="F73" s="659"/>
      <c r="G73" s="659"/>
      <c r="H73" s="805"/>
      <c r="I73" s="430"/>
      <c r="J73" s="783"/>
      <c r="K73" s="783" t="s">
        <v>1411</v>
      </c>
      <c r="L73" s="490"/>
      <c r="M73" s="569"/>
      <c r="N73" s="567"/>
    </row>
    <row r="74" spans="1:14" ht="56.25">
      <c r="A74" s="1536"/>
      <c r="B74" s="1536"/>
      <c r="C74" s="782" t="s">
        <v>986</v>
      </c>
      <c r="D74" s="423" t="s">
        <v>1218</v>
      </c>
      <c r="E74" s="659"/>
      <c r="F74" s="659"/>
      <c r="G74" s="659"/>
      <c r="H74" s="805"/>
      <c r="I74" s="430"/>
      <c r="J74" s="783"/>
      <c r="K74" s="783" t="s">
        <v>1412</v>
      </c>
      <c r="L74" s="490"/>
      <c r="M74" s="569"/>
      <c r="N74" s="567"/>
    </row>
    <row r="75" spans="1:14" ht="12.75">
      <c r="A75" s="1525" t="s">
        <v>587</v>
      </c>
      <c r="B75" s="1525" t="s">
        <v>564</v>
      </c>
      <c r="C75" s="1526" t="s">
        <v>521</v>
      </c>
      <c r="D75" s="424" t="s">
        <v>1001</v>
      </c>
      <c r="E75" s="667"/>
      <c r="F75" s="667"/>
      <c r="G75" s="667"/>
      <c r="H75" s="806"/>
      <c r="I75" s="431"/>
      <c r="J75" s="1516" t="s">
        <v>1217</v>
      </c>
      <c r="K75" s="1527" t="s">
        <v>1216</v>
      </c>
      <c r="L75" s="491"/>
      <c r="M75" s="570"/>
      <c r="N75" s="567"/>
    </row>
    <row r="76" spans="1:14" ht="12.75">
      <c r="A76" s="1525"/>
      <c r="B76" s="1525"/>
      <c r="C76" s="1526"/>
      <c r="D76" s="424" t="s">
        <v>1002</v>
      </c>
      <c r="E76" s="667"/>
      <c r="F76" s="667"/>
      <c r="G76" s="667"/>
      <c r="H76" s="806"/>
      <c r="I76" s="431"/>
      <c r="J76" s="1517"/>
      <c r="K76" s="1527"/>
      <c r="L76" s="491"/>
      <c r="M76" s="570"/>
      <c r="N76" s="567"/>
    </row>
    <row r="77" spans="1:14" ht="12.75">
      <c r="A77" s="1525"/>
      <c r="B77" s="1525"/>
      <c r="C77" s="1526"/>
      <c r="D77" s="424" t="s">
        <v>1003</v>
      </c>
      <c r="E77" s="667"/>
      <c r="F77" s="667"/>
      <c r="G77" s="667"/>
      <c r="H77" s="806"/>
      <c r="I77" s="431"/>
      <c r="J77" s="1517"/>
      <c r="K77" s="1527"/>
      <c r="L77" s="491"/>
      <c r="M77" s="570"/>
      <c r="N77" s="567"/>
    </row>
    <row r="78" spans="1:14" ht="25.5">
      <c r="A78" s="1525"/>
      <c r="B78" s="1525"/>
      <c r="C78" s="1526"/>
      <c r="D78" s="424" t="s">
        <v>1068</v>
      </c>
      <c r="E78" s="667"/>
      <c r="F78" s="667"/>
      <c r="G78" s="667"/>
      <c r="H78" s="806"/>
      <c r="I78" s="431"/>
      <c r="J78" s="1517"/>
      <c r="K78" s="1527"/>
      <c r="L78" s="491"/>
      <c r="M78" s="570"/>
      <c r="N78" s="567"/>
    </row>
    <row r="79" spans="1:14" ht="12.75">
      <c r="A79" s="1525"/>
      <c r="B79" s="1525"/>
      <c r="C79" s="1526"/>
      <c r="D79" s="424" t="s">
        <v>1004</v>
      </c>
      <c r="E79" s="667"/>
      <c r="F79" s="667"/>
      <c r="G79" s="667"/>
      <c r="H79" s="806"/>
      <c r="I79" s="431"/>
      <c r="J79" s="1518"/>
      <c r="K79" s="1527"/>
      <c r="L79" s="491"/>
      <c r="M79" s="570"/>
      <c r="N79" s="567"/>
    </row>
    <row r="80" spans="1:14" ht="25.5">
      <c r="A80" s="1525"/>
      <c r="B80" s="1525"/>
      <c r="C80" s="784" t="s">
        <v>987</v>
      </c>
      <c r="D80" s="424" t="s">
        <v>1041</v>
      </c>
      <c r="E80" s="667"/>
      <c r="F80" s="667"/>
      <c r="G80" s="667"/>
      <c r="H80" s="806"/>
      <c r="I80" s="431"/>
      <c r="J80" s="554" t="s">
        <v>1215</v>
      </c>
      <c r="K80" s="785" t="s">
        <v>1214</v>
      </c>
      <c r="L80" s="491"/>
      <c r="M80" s="570"/>
      <c r="N80" s="567"/>
    </row>
    <row r="81" spans="1:14" ht="22.5">
      <c r="A81" s="1525"/>
      <c r="B81" s="1525"/>
      <c r="C81" s="1526" t="s">
        <v>523</v>
      </c>
      <c r="D81" s="424" t="s">
        <v>865</v>
      </c>
      <c r="E81" s="667"/>
      <c r="F81" s="667"/>
      <c r="G81" s="667"/>
      <c r="H81" s="806"/>
      <c r="I81" s="431"/>
      <c r="J81" s="554" t="s">
        <v>1213</v>
      </c>
      <c r="K81" s="785" t="s">
        <v>1212</v>
      </c>
      <c r="L81" s="491"/>
      <c r="M81" s="570"/>
      <c r="N81" s="567"/>
    </row>
    <row r="82" spans="1:14" ht="22.5">
      <c r="A82" s="1525"/>
      <c r="B82" s="1525"/>
      <c r="C82" s="1526"/>
      <c r="D82" s="424" t="s">
        <v>866</v>
      </c>
      <c r="E82" s="667"/>
      <c r="F82" s="667"/>
      <c r="G82" s="667"/>
      <c r="H82" s="806"/>
      <c r="I82" s="431"/>
      <c r="J82" s="554" t="s">
        <v>1211</v>
      </c>
      <c r="K82" s="785" t="s">
        <v>1210</v>
      </c>
      <c r="L82" s="491"/>
      <c r="M82" s="570"/>
      <c r="N82" s="567"/>
    </row>
    <row r="83" spans="1:14" ht="33.75">
      <c r="A83" s="1525"/>
      <c r="B83" s="1525"/>
      <c r="C83" s="1526"/>
      <c r="D83" s="424" t="s">
        <v>525</v>
      </c>
      <c r="E83" s="667"/>
      <c r="F83" s="667"/>
      <c r="G83" s="667"/>
      <c r="H83" s="806"/>
      <c r="I83" s="431"/>
      <c r="J83" s="554" t="s">
        <v>1209</v>
      </c>
      <c r="K83" s="785" t="s">
        <v>1208</v>
      </c>
      <c r="L83" s="491"/>
      <c r="M83" s="570"/>
      <c r="N83" s="567"/>
    </row>
    <row r="84" spans="1:14" ht="12.75">
      <c r="A84" s="1507" t="s">
        <v>562</v>
      </c>
      <c r="B84" s="1507" t="s">
        <v>589</v>
      </c>
      <c r="C84" s="1510" t="s">
        <v>988</v>
      </c>
      <c r="D84" s="424" t="s">
        <v>1040</v>
      </c>
      <c r="E84" s="667"/>
      <c r="F84" s="667"/>
      <c r="G84" s="667"/>
      <c r="H84" s="806"/>
      <c r="I84" s="431"/>
      <c r="J84" s="1516" t="s">
        <v>1207</v>
      </c>
      <c r="K84" s="1516" t="s">
        <v>1413</v>
      </c>
      <c r="L84" s="491"/>
      <c r="M84" s="570"/>
      <c r="N84" s="567"/>
    </row>
    <row r="85" spans="1:14" ht="12.75">
      <c r="A85" s="1508"/>
      <c r="B85" s="1508"/>
      <c r="C85" s="1511"/>
      <c r="D85" s="424" t="s">
        <v>437</v>
      </c>
      <c r="E85" s="667"/>
      <c r="F85" s="667"/>
      <c r="G85" s="667"/>
      <c r="H85" s="806"/>
      <c r="I85" s="431"/>
      <c r="J85" s="1517"/>
      <c r="K85" s="1517"/>
      <c r="L85" s="491"/>
      <c r="M85" s="570"/>
      <c r="N85" s="567"/>
    </row>
    <row r="86" spans="1:14" ht="12.75">
      <c r="A86" s="1508"/>
      <c r="B86" s="1508"/>
      <c r="C86" s="1511"/>
      <c r="D86" s="424" t="s">
        <v>445</v>
      </c>
      <c r="E86" s="667"/>
      <c r="F86" s="667"/>
      <c r="G86" s="667"/>
      <c r="H86" s="806"/>
      <c r="I86" s="431"/>
      <c r="J86" s="1517"/>
      <c r="K86" s="1517"/>
      <c r="L86" s="491"/>
      <c r="M86" s="570"/>
      <c r="N86" s="567"/>
    </row>
    <row r="87" spans="1:14" ht="12.75">
      <c r="A87" s="1508"/>
      <c r="B87" s="1508"/>
      <c r="C87" s="1511"/>
      <c r="D87" s="424" t="s">
        <v>1070</v>
      </c>
      <c r="E87" s="667"/>
      <c r="F87" s="667"/>
      <c r="G87" s="667"/>
      <c r="H87" s="806"/>
      <c r="I87" s="431"/>
      <c r="J87" s="1517"/>
      <c r="K87" s="1517"/>
      <c r="L87" s="491"/>
      <c r="M87" s="570"/>
      <c r="N87" s="567"/>
    </row>
    <row r="88" spans="1:14" ht="12.75">
      <c r="A88" s="1509"/>
      <c r="B88" s="1509"/>
      <c r="C88" s="1512"/>
      <c r="D88" s="424" t="s">
        <v>441</v>
      </c>
      <c r="E88" s="667"/>
      <c r="F88" s="667"/>
      <c r="G88" s="667"/>
      <c r="H88" s="806"/>
      <c r="I88" s="431"/>
      <c r="J88" s="1518"/>
      <c r="K88" s="1518"/>
      <c r="L88" s="491"/>
      <c r="M88" s="570"/>
      <c r="N88" s="567"/>
    </row>
    <row r="89" spans="1:14" ht="45">
      <c r="A89" s="1551"/>
      <c r="B89" s="1519" t="s">
        <v>1065</v>
      </c>
      <c r="C89" s="1520" t="s">
        <v>989</v>
      </c>
      <c r="D89" s="422" t="s">
        <v>1045</v>
      </c>
      <c r="E89" s="662"/>
      <c r="F89" s="662"/>
      <c r="G89" s="662"/>
      <c r="H89" s="803"/>
      <c r="I89" s="428"/>
      <c r="J89" s="528" t="s">
        <v>1206</v>
      </c>
      <c r="K89" s="494" t="s">
        <v>1205</v>
      </c>
      <c r="L89" s="571"/>
      <c r="M89" s="567"/>
      <c r="N89" s="567"/>
    </row>
    <row r="90" spans="1:14" ht="38.25">
      <c r="A90" s="1551"/>
      <c r="B90" s="1519"/>
      <c r="C90" s="1521"/>
      <c r="D90" s="422" t="s">
        <v>1042</v>
      </c>
      <c r="E90" s="662"/>
      <c r="F90" s="662"/>
      <c r="G90" s="662"/>
      <c r="H90" s="803"/>
      <c r="I90" s="428"/>
      <c r="J90" s="555"/>
      <c r="K90" s="494" t="s">
        <v>1414</v>
      </c>
      <c r="L90" s="571"/>
      <c r="M90" s="567"/>
      <c r="N90" s="567"/>
    </row>
    <row r="91" spans="1:14" ht="12.75">
      <c r="A91" s="1551"/>
      <c r="B91" s="1519"/>
      <c r="C91" s="1521"/>
      <c r="D91" s="422" t="s">
        <v>1044</v>
      </c>
      <c r="E91" s="662"/>
      <c r="F91" s="662"/>
      <c r="G91" s="662"/>
      <c r="H91" s="803"/>
      <c r="I91" s="428"/>
      <c r="J91" s="555"/>
      <c r="K91" s="494" t="s">
        <v>1415</v>
      </c>
      <c r="L91" s="571"/>
      <c r="M91" s="567"/>
      <c r="N91" s="567"/>
    </row>
    <row r="92" spans="1:14" ht="25.5">
      <c r="A92" s="1551"/>
      <c r="B92" s="1519"/>
      <c r="C92" s="1521"/>
      <c r="D92" s="422" t="s">
        <v>1072</v>
      </c>
      <c r="E92" s="662"/>
      <c r="F92" s="662"/>
      <c r="G92" s="662"/>
      <c r="H92" s="803"/>
      <c r="I92" s="428"/>
      <c r="J92" s="555"/>
      <c r="K92" s="494" t="s">
        <v>1414</v>
      </c>
      <c r="L92" s="571"/>
      <c r="M92" s="567"/>
      <c r="N92" s="567"/>
    </row>
    <row r="93" spans="1:14" ht="12.75">
      <c r="A93" s="1551"/>
      <c r="B93" s="1519"/>
      <c r="C93" s="786"/>
      <c r="D93" s="422" t="s">
        <v>1416</v>
      </c>
      <c r="E93" s="662"/>
      <c r="F93" s="662"/>
      <c r="G93" s="662"/>
      <c r="H93" s="803"/>
      <c r="I93" s="428"/>
      <c r="J93" s="555"/>
      <c r="K93" s="494" t="s">
        <v>1417</v>
      </c>
      <c r="L93" s="571"/>
      <c r="M93" s="567"/>
      <c r="N93" s="567"/>
    </row>
    <row r="94" spans="1:14" ht="25.5">
      <c r="A94" s="1551"/>
      <c r="B94" s="1519"/>
      <c r="C94" s="786"/>
      <c r="D94" s="422" t="s">
        <v>1073</v>
      </c>
      <c r="E94" s="662"/>
      <c r="F94" s="662"/>
      <c r="G94" s="662"/>
      <c r="H94" s="803"/>
      <c r="I94" s="428"/>
      <c r="J94" s="555"/>
      <c r="K94" s="494" t="s">
        <v>1418</v>
      </c>
      <c r="L94" s="571"/>
      <c r="M94" s="567"/>
      <c r="N94" s="567"/>
    </row>
    <row r="95" spans="1:14" ht="38.25">
      <c r="A95" s="1551"/>
      <c r="B95" s="1519"/>
      <c r="C95" s="786"/>
      <c r="D95" s="422" t="s">
        <v>1062</v>
      </c>
      <c r="E95" s="662"/>
      <c r="F95" s="662"/>
      <c r="G95" s="662"/>
      <c r="H95" s="803"/>
      <c r="I95" s="428"/>
      <c r="J95" s="555"/>
      <c r="K95" s="494" t="s">
        <v>1419</v>
      </c>
      <c r="L95" s="571"/>
      <c r="M95" s="567"/>
      <c r="N95" s="567"/>
    </row>
    <row r="96" spans="1:14" ht="22.5">
      <c r="A96" s="1551"/>
      <c r="B96" s="1519"/>
      <c r="C96" s="1489" t="s">
        <v>1436</v>
      </c>
      <c r="D96" s="538" t="s">
        <v>990</v>
      </c>
      <c r="E96" s="662"/>
      <c r="F96" s="662"/>
      <c r="G96" s="662"/>
      <c r="H96" s="803"/>
      <c r="I96" s="428"/>
      <c r="J96" s="1593" t="s">
        <v>898</v>
      </c>
      <c r="K96" s="494" t="s">
        <v>1204</v>
      </c>
      <c r="L96" s="571"/>
      <c r="M96" s="567"/>
      <c r="N96" s="567"/>
    </row>
    <row r="97" spans="1:14" ht="12.75">
      <c r="A97" s="1551"/>
      <c r="B97" s="1519"/>
      <c r="C97" s="1490"/>
      <c r="D97" s="538" t="s">
        <v>1043</v>
      </c>
      <c r="E97" s="662"/>
      <c r="F97" s="662"/>
      <c r="G97" s="662"/>
      <c r="H97" s="803"/>
      <c r="I97" s="428"/>
      <c r="J97" s="1594"/>
      <c r="K97" s="494" t="s">
        <v>1203</v>
      </c>
      <c r="L97" s="571"/>
      <c r="M97" s="567"/>
      <c r="N97" s="567"/>
    </row>
    <row r="98" spans="1:14" ht="12.75">
      <c r="A98" s="1551"/>
      <c r="B98" s="1519"/>
      <c r="C98" s="1490"/>
      <c r="D98" s="538" t="s">
        <v>992</v>
      </c>
      <c r="E98" s="662"/>
      <c r="F98" s="662"/>
      <c r="G98" s="662"/>
      <c r="H98" s="803"/>
      <c r="I98" s="428"/>
      <c r="J98" s="1594"/>
      <c r="K98" s="494" t="s">
        <v>1202</v>
      </c>
      <c r="L98" s="571"/>
      <c r="M98" s="567"/>
      <c r="N98" s="567"/>
    </row>
    <row r="99" spans="1:14" ht="22.5">
      <c r="A99" s="1551"/>
      <c r="B99" s="1519"/>
      <c r="C99" s="1490"/>
      <c r="D99" s="538" t="s">
        <v>1061</v>
      </c>
      <c r="E99" s="662"/>
      <c r="F99" s="662"/>
      <c r="G99" s="662"/>
      <c r="H99" s="803"/>
      <c r="I99" s="428"/>
      <c r="J99" s="1594"/>
      <c r="K99" s="494" t="s">
        <v>1201</v>
      </c>
      <c r="L99" s="571"/>
      <c r="M99" s="567"/>
      <c r="N99" s="567"/>
    </row>
    <row r="100" spans="1:14" ht="12.75">
      <c r="A100" s="1551"/>
      <c r="B100" s="1519"/>
      <c r="C100" s="1490"/>
      <c r="D100" s="538" t="s">
        <v>991</v>
      </c>
      <c r="E100" s="662"/>
      <c r="F100" s="662"/>
      <c r="G100" s="662"/>
      <c r="H100" s="803"/>
      <c r="I100" s="428"/>
      <c r="J100" s="1594"/>
      <c r="K100" s="494" t="s">
        <v>1200</v>
      </c>
      <c r="L100" s="571"/>
      <c r="M100" s="567"/>
      <c r="N100" s="567"/>
    </row>
    <row r="101" spans="1:14" ht="22.5">
      <c r="A101" s="1551"/>
      <c r="B101" s="1519"/>
      <c r="C101" s="1491"/>
      <c r="D101" s="590" t="s">
        <v>1066</v>
      </c>
      <c r="E101" s="662"/>
      <c r="F101" s="662"/>
      <c r="G101" s="662"/>
      <c r="H101" s="803"/>
      <c r="I101" s="428"/>
      <c r="J101" s="1595"/>
      <c r="K101" s="494" t="s">
        <v>1199</v>
      </c>
      <c r="L101" s="571"/>
      <c r="M101" s="567"/>
      <c r="N101" s="567"/>
    </row>
    <row r="102" spans="1:14" ht="45">
      <c r="A102" s="1495" t="s">
        <v>562</v>
      </c>
      <c r="B102" s="1495" t="s">
        <v>565</v>
      </c>
      <c r="C102" s="509" t="s">
        <v>1008</v>
      </c>
      <c r="D102" s="421" t="s">
        <v>1437</v>
      </c>
      <c r="E102" s="654"/>
      <c r="F102" s="654"/>
      <c r="G102" s="654"/>
      <c r="H102" s="807"/>
      <c r="I102" s="432"/>
      <c r="J102" s="556" t="s">
        <v>1189</v>
      </c>
      <c r="K102" s="504" t="s">
        <v>1198</v>
      </c>
      <c r="L102" s="571"/>
      <c r="M102" s="567"/>
      <c r="N102" s="567"/>
    </row>
    <row r="103" spans="1:14" ht="12.75">
      <c r="A103" s="1496"/>
      <c r="B103" s="1496"/>
      <c r="C103" s="1498" t="s">
        <v>1080</v>
      </c>
      <c r="D103" s="421" t="s">
        <v>1050</v>
      </c>
      <c r="E103" s="654" t="s">
        <v>587</v>
      </c>
      <c r="F103" s="654"/>
      <c r="G103" s="654"/>
      <c r="H103" s="807"/>
      <c r="I103" s="432"/>
      <c r="J103" s="1504" t="s">
        <v>1189</v>
      </c>
      <c r="K103" s="1504" t="s">
        <v>1197</v>
      </c>
      <c r="L103" s="571"/>
      <c r="M103" s="567"/>
      <c r="N103" s="567"/>
    </row>
    <row r="104" spans="1:14" ht="12.75">
      <c r="A104" s="1496"/>
      <c r="B104" s="1496"/>
      <c r="C104" s="1499"/>
      <c r="D104" s="421" t="s">
        <v>1049</v>
      </c>
      <c r="E104" s="654" t="s">
        <v>1572</v>
      </c>
      <c r="F104" s="654"/>
      <c r="G104" s="654"/>
      <c r="H104" s="807"/>
      <c r="I104" s="432"/>
      <c r="J104" s="1505"/>
      <c r="K104" s="1505"/>
      <c r="L104" s="571"/>
      <c r="M104" s="567"/>
      <c r="N104" s="567"/>
    </row>
    <row r="105" spans="1:14" ht="12.75">
      <c r="A105" s="1496"/>
      <c r="B105" s="1496"/>
      <c r="C105" s="1499"/>
      <c r="D105" s="421" t="s">
        <v>1048</v>
      </c>
      <c r="E105" s="654"/>
      <c r="F105" s="654"/>
      <c r="G105" s="654"/>
      <c r="H105" s="807"/>
      <c r="I105" s="432"/>
      <c r="J105" s="1505"/>
      <c r="K105" s="1505"/>
      <c r="L105" s="571"/>
      <c r="M105" s="567"/>
      <c r="N105" s="567"/>
    </row>
    <row r="106" spans="1:14" ht="38.25">
      <c r="A106" s="1496"/>
      <c r="B106" s="1496"/>
      <c r="C106" s="1499"/>
      <c r="D106" s="421" t="s">
        <v>1071</v>
      </c>
      <c r="E106" s="654"/>
      <c r="F106" s="654"/>
      <c r="G106" s="654"/>
      <c r="H106" s="807"/>
      <c r="I106" s="432"/>
      <c r="J106" s="1505"/>
      <c r="K106" s="1505"/>
      <c r="L106" s="571"/>
      <c r="M106" s="567"/>
      <c r="N106" s="567"/>
    </row>
    <row r="107" spans="1:14" ht="12.75">
      <c r="A107" s="1496"/>
      <c r="B107" s="1496"/>
      <c r="C107" s="1500"/>
      <c r="D107" s="421" t="s">
        <v>1063</v>
      </c>
      <c r="E107" s="654"/>
      <c r="F107" s="654"/>
      <c r="G107" s="654"/>
      <c r="H107" s="807"/>
      <c r="I107" s="432"/>
      <c r="J107" s="1506"/>
      <c r="K107" s="1506"/>
      <c r="L107" s="571"/>
      <c r="M107" s="567"/>
      <c r="N107" s="567"/>
    </row>
    <row r="108" spans="1:14" ht="33.75">
      <c r="A108" s="1496"/>
      <c r="B108" s="1496"/>
      <c r="C108" s="1495" t="s">
        <v>1438</v>
      </c>
      <c r="D108" s="591" t="s">
        <v>1347</v>
      </c>
      <c r="E108" s="654"/>
      <c r="F108" s="654"/>
      <c r="G108" s="654"/>
      <c r="H108" s="807"/>
      <c r="I108" s="432"/>
      <c r="J108" s="557"/>
      <c r="K108" s="787" t="s">
        <v>1348</v>
      </c>
      <c r="L108" s="571"/>
      <c r="M108" s="567"/>
      <c r="N108" s="567"/>
    </row>
    <row r="109" spans="1:14" ht="38.25">
      <c r="A109" s="1496"/>
      <c r="B109" s="1496"/>
      <c r="C109" s="1496"/>
      <c r="D109" s="592" t="s">
        <v>1005</v>
      </c>
      <c r="E109" s="654"/>
      <c r="F109" s="654"/>
      <c r="G109" s="654"/>
      <c r="H109" s="807"/>
      <c r="I109" s="432"/>
      <c r="J109" s="556" t="s">
        <v>1189</v>
      </c>
      <c r="K109" s="504" t="s">
        <v>575</v>
      </c>
      <c r="L109" s="571"/>
      <c r="M109" s="567"/>
      <c r="N109" s="567"/>
    </row>
    <row r="110" spans="1:14" ht="38.25">
      <c r="A110" s="1496"/>
      <c r="B110" s="1496"/>
      <c r="C110" s="1496"/>
      <c r="D110" s="592" t="s">
        <v>953</v>
      </c>
      <c r="E110" s="654"/>
      <c r="F110" s="654"/>
      <c r="G110" s="654"/>
      <c r="H110" s="807"/>
      <c r="I110" s="432"/>
      <c r="J110" s="556" t="s">
        <v>1189</v>
      </c>
      <c r="K110" s="504" t="s">
        <v>1022</v>
      </c>
      <c r="L110" s="571"/>
      <c r="M110" s="567"/>
      <c r="N110" s="567"/>
    </row>
    <row r="111" spans="1:14" ht="51">
      <c r="A111" s="1496"/>
      <c r="B111" s="1496"/>
      <c r="C111" s="1496"/>
      <c r="D111" s="592" t="s">
        <v>580</v>
      </c>
      <c r="E111" s="654"/>
      <c r="F111" s="654"/>
      <c r="G111" s="654"/>
      <c r="H111" s="807"/>
      <c r="I111" s="432"/>
      <c r="J111" s="556" t="s">
        <v>1189</v>
      </c>
      <c r="K111" s="504" t="s">
        <v>1420</v>
      </c>
      <c r="L111" s="571"/>
      <c r="M111" s="567"/>
      <c r="N111" s="567"/>
    </row>
    <row r="112" spans="1:14" ht="45">
      <c r="A112" s="1496"/>
      <c r="B112" s="1496"/>
      <c r="C112" s="1496"/>
      <c r="D112" s="592" t="s">
        <v>1081</v>
      </c>
      <c r="E112" s="654"/>
      <c r="F112" s="654"/>
      <c r="G112" s="654"/>
      <c r="H112" s="807"/>
      <c r="I112" s="432"/>
      <c r="J112" s="556"/>
      <c r="K112" s="504" t="s">
        <v>1194</v>
      </c>
      <c r="L112" s="571"/>
      <c r="M112" s="567"/>
      <c r="N112" s="567"/>
    </row>
    <row r="113" spans="1:14" ht="45">
      <c r="A113" s="1496"/>
      <c r="B113" s="1496"/>
      <c r="C113" s="1496"/>
      <c r="D113" s="592" t="s">
        <v>1082</v>
      </c>
      <c r="E113" s="654"/>
      <c r="F113" s="654"/>
      <c r="G113" s="654"/>
      <c r="H113" s="807"/>
      <c r="I113" s="432"/>
      <c r="J113" s="556" t="s">
        <v>1189</v>
      </c>
      <c r="K113" s="504" t="s">
        <v>1193</v>
      </c>
      <c r="L113" s="571"/>
      <c r="M113" s="567"/>
      <c r="N113" s="567"/>
    </row>
    <row r="114" spans="1:14" ht="51">
      <c r="A114" s="1496"/>
      <c r="B114" s="1496"/>
      <c r="C114" s="1497"/>
      <c r="D114" s="592" t="s">
        <v>1083</v>
      </c>
      <c r="E114" s="654"/>
      <c r="F114" s="654"/>
      <c r="G114" s="654"/>
      <c r="H114" s="807"/>
      <c r="I114" s="432"/>
      <c r="J114" s="556"/>
      <c r="K114" s="504" t="s">
        <v>1192</v>
      </c>
      <c r="L114" s="571"/>
      <c r="M114" s="567"/>
      <c r="N114" s="567"/>
    </row>
    <row r="115" spans="1:14" ht="78.75">
      <c r="A115" s="1496"/>
      <c r="B115" s="1496"/>
      <c r="C115" s="1495" t="s">
        <v>1439</v>
      </c>
      <c r="D115" s="592" t="s">
        <v>1084</v>
      </c>
      <c r="E115" s="654"/>
      <c r="F115" s="654"/>
      <c r="G115" s="654"/>
      <c r="H115" s="807"/>
      <c r="I115" s="432"/>
      <c r="J115" s="556"/>
      <c r="K115" s="504" t="s">
        <v>1421</v>
      </c>
      <c r="L115" s="571"/>
      <c r="M115" s="567"/>
      <c r="N115" s="567"/>
    </row>
    <row r="116" spans="1:14" ht="38.25">
      <c r="A116" s="1496"/>
      <c r="B116" s="1496"/>
      <c r="C116" s="1496"/>
      <c r="D116" s="592" t="s">
        <v>1007</v>
      </c>
      <c r="E116" s="654"/>
      <c r="F116" s="654"/>
      <c r="G116" s="654"/>
      <c r="H116" s="807"/>
      <c r="I116" s="432"/>
      <c r="J116" s="556"/>
      <c r="K116" s="504" t="s">
        <v>1422</v>
      </c>
      <c r="L116" s="571"/>
      <c r="M116" s="567"/>
      <c r="N116" s="567"/>
    </row>
    <row r="117" spans="1:14" ht="45">
      <c r="A117" s="1496"/>
      <c r="B117" s="1496"/>
      <c r="C117" s="1496"/>
      <c r="D117" s="592" t="s">
        <v>1056</v>
      </c>
      <c r="E117" s="654"/>
      <c r="F117" s="654"/>
      <c r="G117" s="654"/>
      <c r="H117" s="807"/>
      <c r="I117" s="432"/>
      <c r="J117" s="556" t="s">
        <v>1189</v>
      </c>
      <c r="K117" s="504" t="s">
        <v>1195</v>
      </c>
      <c r="L117" s="571"/>
      <c r="M117" s="567"/>
      <c r="N117" s="567"/>
    </row>
    <row r="118" spans="1:14" ht="51">
      <c r="A118" s="1496"/>
      <c r="B118" s="1496"/>
      <c r="C118" s="1496"/>
      <c r="D118" s="592" t="s">
        <v>1023</v>
      </c>
      <c r="E118" s="654"/>
      <c r="F118" s="654"/>
      <c r="G118" s="654"/>
      <c r="H118" s="807"/>
      <c r="I118" s="432"/>
      <c r="J118" s="556" t="s">
        <v>1189</v>
      </c>
      <c r="K118" s="504" t="s">
        <v>1190</v>
      </c>
      <c r="L118" s="571"/>
      <c r="M118" s="567"/>
      <c r="N118" s="567"/>
    </row>
    <row r="119" spans="1:14" ht="33.75">
      <c r="A119" s="1497"/>
      <c r="B119" s="1497"/>
      <c r="C119" s="1497"/>
      <c r="D119" s="592" t="s">
        <v>993</v>
      </c>
      <c r="E119" s="654"/>
      <c r="F119" s="654"/>
      <c r="G119" s="654"/>
      <c r="H119" s="807"/>
      <c r="I119" s="432"/>
      <c r="J119" s="556" t="s">
        <v>1189</v>
      </c>
      <c r="K119" s="504" t="s">
        <v>1423</v>
      </c>
      <c r="L119" s="571"/>
      <c r="M119" s="567"/>
      <c r="N119" s="567"/>
    </row>
    <row r="120" spans="1:14" ht="78.75">
      <c r="A120" s="1479" t="s">
        <v>587</v>
      </c>
      <c r="B120" s="1479" t="s">
        <v>573</v>
      </c>
      <c r="C120" s="1480" t="s">
        <v>1440</v>
      </c>
      <c r="D120" s="593" t="s">
        <v>1188</v>
      </c>
      <c r="E120" s="670"/>
      <c r="F120" s="670"/>
      <c r="G120" s="670"/>
      <c r="H120" s="808"/>
      <c r="I120" s="433"/>
      <c r="J120" s="558"/>
      <c r="K120" s="502" t="s">
        <v>1187</v>
      </c>
      <c r="L120" s="571"/>
      <c r="M120" s="567"/>
      <c r="N120" s="567"/>
    </row>
    <row r="121" spans="1:14" ht="38.25">
      <c r="A121" s="1479"/>
      <c r="B121" s="1479"/>
      <c r="C121" s="1481"/>
      <c r="D121" s="593" t="s">
        <v>1060</v>
      </c>
      <c r="E121" s="670"/>
      <c r="F121" s="670"/>
      <c r="G121" s="670"/>
      <c r="H121" s="808"/>
      <c r="I121" s="433"/>
      <c r="J121" s="558"/>
      <c r="K121" s="502" t="s">
        <v>1186</v>
      </c>
      <c r="L121" s="571"/>
      <c r="M121" s="567"/>
      <c r="N121" s="567"/>
    </row>
    <row r="122" spans="1:14" ht="25.5">
      <c r="A122" s="1479"/>
      <c r="B122" s="1479"/>
      <c r="C122" s="1481"/>
      <c r="D122" s="593" t="s">
        <v>1009</v>
      </c>
      <c r="E122" s="670"/>
      <c r="F122" s="670"/>
      <c r="G122" s="670"/>
      <c r="H122" s="808"/>
      <c r="I122" s="433"/>
      <c r="J122" s="558"/>
      <c r="K122" s="559" t="s">
        <v>1441</v>
      </c>
      <c r="L122" s="571"/>
      <c r="M122" s="567"/>
      <c r="N122" s="567"/>
    </row>
    <row r="123" spans="1:14" ht="38.25">
      <c r="A123" s="1479"/>
      <c r="B123" s="1479"/>
      <c r="C123" s="1481"/>
      <c r="D123" s="593" t="s">
        <v>536</v>
      </c>
      <c r="E123" s="670"/>
      <c r="F123" s="670"/>
      <c r="G123" s="670"/>
      <c r="H123" s="808"/>
      <c r="I123" s="433"/>
      <c r="J123" s="558"/>
      <c r="K123" s="547" t="s">
        <v>1185</v>
      </c>
      <c r="L123" s="571"/>
      <c r="M123" s="567"/>
      <c r="N123" s="567"/>
    </row>
    <row r="124" spans="1:14" ht="25.5">
      <c r="A124" s="1479"/>
      <c r="B124" s="1479"/>
      <c r="C124" s="1481"/>
      <c r="D124" s="593" t="s">
        <v>1029</v>
      </c>
      <c r="E124" s="670"/>
      <c r="F124" s="670"/>
      <c r="G124" s="670"/>
      <c r="H124" s="808"/>
      <c r="I124" s="433"/>
      <c r="J124" s="558"/>
      <c r="K124" s="1483" t="s">
        <v>1184</v>
      </c>
      <c r="L124" s="571"/>
      <c r="M124" s="567"/>
      <c r="N124" s="567"/>
    </row>
    <row r="125" spans="1:14" ht="12.75">
      <c r="A125" s="1479"/>
      <c r="B125" s="1479"/>
      <c r="C125" s="1481"/>
      <c r="D125" s="593" t="s">
        <v>1030</v>
      </c>
      <c r="E125" s="670"/>
      <c r="F125" s="670"/>
      <c r="G125" s="670"/>
      <c r="H125" s="808"/>
      <c r="I125" s="433"/>
      <c r="J125" s="558"/>
      <c r="K125" s="1484"/>
      <c r="L125" s="571"/>
      <c r="M125" s="567"/>
      <c r="N125" s="567"/>
    </row>
    <row r="126" spans="1:14" ht="25.5">
      <c r="A126" s="1479"/>
      <c r="B126" s="1479"/>
      <c r="C126" s="1481"/>
      <c r="D126" s="593" t="s">
        <v>1031</v>
      </c>
      <c r="E126" s="670"/>
      <c r="F126" s="670"/>
      <c r="G126" s="670"/>
      <c r="H126" s="808"/>
      <c r="I126" s="433"/>
      <c r="J126" s="558"/>
      <c r="K126" s="547" t="s">
        <v>1183</v>
      </c>
      <c r="L126" s="571"/>
      <c r="M126" s="567"/>
      <c r="N126" s="567"/>
    </row>
    <row r="127" spans="1:14" ht="25.5">
      <c r="A127" s="1479"/>
      <c r="B127" s="1479"/>
      <c r="C127" s="1481"/>
      <c r="D127" s="593" t="s">
        <v>994</v>
      </c>
      <c r="E127" s="670"/>
      <c r="F127" s="670"/>
      <c r="G127" s="670"/>
      <c r="H127" s="808"/>
      <c r="I127" s="433"/>
      <c r="J127" s="558"/>
      <c r="K127" s="502" t="s">
        <v>653</v>
      </c>
      <c r="L127" s="571"/>
      <c r="M127" s="567"/>
      <c r="N127" s="567"/>
    </row>
    <row r="128" spans="1:14" ht="22.5">
      <c r="A128" s="1479"/>
      <c r="B128" s="1479"/>
      <c r="C128" s="1481"/>
      <c r="D128" s="593" t="s">
        <v>1342</v>
      </c>
      <c r="E128" s="670"/>
      <c r="F128" s="670"/>
      <c r="G128" s="670"/>
      <c r="H128" s="808"/>
      <c r="I128" s="433"/>
      <c r="J128" s="558"/>
      <c r="K128" s="502" t="s">
        <v>1343</v>
      </c>
      <c r="L128" s="571"/>
      <c r="M128" s="567"/>
      <c r="N128" s="567"/>
    </row>
    <row r="129" spans="1:14" ht="45">
      <c r="A129" s="1479"/>
      <c r="B129" s="1479"/>
      <c r="C129" s="1481"/>
      <c r="D129" s="593" t="s">
        <v>1463</v>
      </c>
      <c r="E129" s="670"/>
      <c r="F129" s="670"/>
      <c r="G129" s="670"/>
      <c r="H129" s="808"/>
      <c r="I129" s="433"/>
      <c r="J129" s="558"/>
      <c r="K129" s="502" t="s">
        <v>1464</v>
      </c>
      <c r="L129" s="571"/>
      <c r="M129" s="567"/>
      <c r="N129" s="567"/>
    </row>
    <row r="130" spans="1:14" ht="38.25">
      <c r="A130" s="1479"/>
      <c r="B130" s="1479"/>
      <c r="C130" s="1482"/>
      <c r="D130" s="593" t="s">
        <v>964</v>
      </c>
      <c r="E130" s="670"/>
      <c r="F130" s="670"/>
      <c r="G130" s="670"/>
      <c r="H130" s="808"/>
      <c r="I130" s="433"/>
      <c r="J130" s="558"/>
      <c r="K130" s="502" t="s">
        <v>1182</v>
      </c>
      <c r="L130" s="571"/>
      <c r="M130" s="567"/>
      <c r="N130" s="567"/>
    </row>
    <row r="131" spans="1:14" ht="38.25">
      <c r="A131" s="1485" t="s">
        <v>562</v>
      </c>
      <c r="B131" s="1485" t="s">
        <v>995</v>
      </c>
      <c r="C131" s="331" t="s">
        <v>997</v>
      </c>
      <c r="D131" s="425"/>
      <c r="E131" s="664"/>
      <c r="F131" s="664"/>
      <c r="G131" s="664"/>
      <c r="H131" s="804"/>
      <c r="I131" s="429"/>
      <c r="J131" s="553"/>
      <c r="K131" s="500" t="s">
        <v>867</v>
      </c>
      <c r="L131" s="571"/>
      <c r="M131" s="567"/>
      <c r="N131" s="567"/>
    </row>
    <row r="132" spans="1:14" ht="25.5">
      <c r="A132" s="1485"/>
      <c r="B132" s="1485"/>
      <c r="C132" s="331" t="s">
        <v>996</v>
      </c>
      <c r="D132" s="425"/>
      <c r="E132" s="664"/>
      <c r="F132" s="664"/>
      <c r="G132" s="664"/>
      <c r="H132" s="804"/>
      <c r="I132" s="429"/>
      <c r="J132" s="553"/>
      <c r="K132" s="500" t="s">
        <v>1181</v>
      </c>
      <c r="L132" s="571"/>
      <c r="M132" s="567"/>
      <c r="N132" s="567"/>
    </row>
    <row r="133" spans="1:14" ht="22.5">
      <c r="A133" s="1485"/>
      <c r="B133" s="1485"/>
      <c r="C133" s="338" t="s">
        <v>868</v>
      </c>
      <c r="D133" s="426"/>
      <c r="E133" s="809"/>
      <c r="F133" s="809"/>
      <c r="G133" s="809"/>
      <c r="H133" s="810"/>
      <c r="I133" s="434"/>
      <c r="J133" s="560"/>
      <c r="K133" s="546" t="s">
        <v>1180</v>
      </c>
      <c r="L133" s="571"/>
      <c r="M133" s="567"/>
      <c r="N133" s="567"/>
    </row>
    <row r="134" spans="1:14" ht="38.25">
      <c r="A134" s="1551"/>
      <c r="B134" s="1551" t="s">
        <v>869</v>
      </c>
      <c r="C134" s="781" t="s">
        <v>1046</v>
      </c>
      <c r="D134" s="422"/>
      <c r="E134" s="662" t="s">
        <v>587</v>
      </c>
      <c r="F134" s="662"/>
      <c r="G134" s="662"/>
      <c r="H134" s="803"/>
      <c r="I134" s="428"/>
      <c r="J134" s="528"/>
      <c r="K134" s="494" t="s">
        <v>1179</v>
      </c>
      <c r="L134" s="572"/>
      <c r="M134" s="567"/>
      <c r="N134" s="567"/>
    </row>
    <row r="135" spans="1:14" ht="25.5">
      <c r="A135" s="1551"/>
      <c r="B135" s="1551"/>
      <c r="C135" s="336" t="s">
        <v>551</v>
      </c>
      <c r="D135" s="427"/>
      <c r="E135" s="811"/>
      <c r="F135" s="811"/>
      <c r="G135" s="811"/>
      <c r="H135" s="812"/>
      <c r="I135" s="435"/>
      <c r="J135" s="561"/>
      <c r="K135" s="497" t="s">
        <v>1178</v>
      </c>
      <c r="L135" s="567"/>
      <c r="M135" s="567"/>
      <c r="N135" s="567"/>
    </row>
    <row r="136" spans="1:14" ht="25.5">
      <c r="A136" s="1551"/>
      <c r="B136" s="1551"/>
      <c r="C136" s="336" t="s">
        <v>1052</v>
      </c>
      <c r="D136" s="427"/>
      <c r="E136" s="811"/>
      <c r="F136" s="811"/>
      <c r="G136" s="811"/>
      <c r="H136" s="812"/>
      <c r="I136" s="435"/>
      <c r="J136" s="561"/>
      <c r="K136" s="497" t="s">
        <v>1177</v>
      </c>
      <c r="L136" s="567"/>
      <c r="M136" s="567"/>
      <c r="N136" s="567"/>
    </row>
    <row r="137" spans="1:14" ht="22.5">
      <c r="A137" s="1551"/>
      <c r="B137" s="1551"/>
      <c r="C137" s="781" t="s">
        <v>553</v>
      </c>
      <c r="D137" s="422"/>
      <c r="E137" s="662"/>
      <c r="F137" s="662"/>
      <c r="G137" s="662"/>
      <c r="H137" s="803"/>
      <c r="I137" s="428"/>
      <c r="J137" s="494" t="s">
        <v>554</v>
      </c>
      <c r="K137" s="548" t="s">
        <v>1176</v>
      </c>
      <c r="L137" s="571"/>
      <c r="M137" s="567"/>
      <c r="N137" s="567"/>
    </row>
    <row r="138" spans="1:14" ht="25.5">
      <c r="A138" s="1551"/>
      <c r="B138" s="1551"/>
      <c r="C138" s="781" t="s">
        <v>555</v>
      </c>
      <c r="D138" s="422"/>
      <c r="E138" s="662" t="s">
        <v>562</v>
      </c>
      <c r="F138" s="662"/>
      <c r="G138" s="662"/>
      <c r="H138" s="803"/>
      <c r="I138" s="428"/>
      <c r="J138" s="528"/>
      <c r="K138" s="494" t="s">
        <v>582</v>
      </c>
      <c r="L138" s="571"/>
      <c r="M138" s="567"/>
      <c r="N138" s="567"/>
    </row>
    <row r="139" spans="1:14" ht="38.25">
      <c r="A139" s="1551"/>
      <c r="B139" s="1551"/>
      <c r="C139" s="781" t="s">
        <v>1028</v>
      </c>
      <c r="D139" s="422"/>
      <c r="E139" s="662" t="s">
        <v>587</v>
      </c>
      <c r="F139" s="662"/>
      <c r="G139" s="662"/>
      <c r="H139" s="803"/>
      <c r="I139" s="428"/>
      <c r="J139" s="528"/>
      <c r="K139" s="494" t="s">
        <v>1424</v>
      </c>
      <c r="L139" s="571"/>
      <c r="M139" s="567"/>
      <c r="N139" s="567"/>
    </row>
    <row r="140" spans="1:14" ht="12.75">
      <c r="A140" s="1551"/>
      <c r="B140" s="1551"/>
      <c r="C140" s="781" t="s">
        <v>1051</v>
      </c>
      <c r="D140" s="422"/>
      <c r="E140" s="662"/>
      <c r="F140" s="662"/>
      <c r="G140" s="662"/>
      <c r="H140" s="803"/>
      <c r="I140" s="428"/>
      <c r="J140" s="528"/>
      <c r="K140" s="494" t="s">
        <v>1175</v>
      </c>
      <c r="L140" s="571"/>
      <c r="M140" s="567"/>
      <c r="N140" s="567"/>
    </row>
    <row r="141" spans="1:14" ht="25.5">
      <c r="A141" s="1551"/>
      <c r="B141" s="1551"/>
      <c r="C141" s="781" t="s">
        <v>1338</v>
      </c>
      <c r="D141" s="422"/>
      <c r="E141" s="662"/>
      <c r="F141" s="662"/>
      <c r="G141" s="662"/>
      <c r="H141" s="803"/>
      <c r="I141" s="428"/>
      <c r="J141" s="555"/>
      <c r="K141" s="494" t="s">
        <v>1174</v>
      </c>
      <c r="L141" s="571"/>
      <c r="M141" s="567"/>
      <c r="N141" s="567"/>
    </row>
    <row r="142" spans="1:14" ht="12.75">
      <c r="A142" s="1551"/>
      <c r="B142" s="1551"/>
      <c r="C142" s="781" t="s">
        <v>625</v>
      </c>
      <c r="D142" s="422"/>
      <c r="E142" s="662" t="s">
        <v>587</v>
      </c>
      <c r="F142" s="662"/>
      <c r="G142" s="662"/>
      <c r="H142" s="803"/>
      <c r="I142" s="428"/>
      <c r="J142" s="555"/>
      <c r="K142" s="494" t="s">
        <v>1047</v>
      </c>
      <c r="L142" s="571"/>
      <c r="M142" s="567"/>
      <c r="N142" s="567"/>
    </row>
    <row r="143" spans="1:14" ht="12.75">
      <c r="A143" s="540" t="s">
        <v>1431</v>
      </c>
      <c r="B143" s="417"/>
      <c r="C143" s="529"/>
      <c r="D143" s="541"/>
      <c r="E143" s="813"/>
      <c r="F143" s="813"/>
      <c r="G143" s="813"/>
      <c r="H143" s="813"/>
      <c r="I143" s="409"/>
      <c r="N143" s="563"/>
    </row>
    <row r="144" spans="1:14" ht="12.75">
      <c r="C144" s="529"/>
      <c r="D144" s="541"/>
      <c r="E144" s="814"/>
      <c r="F144" s="814"/>
      <c r="G144" s="814"/>
      <c r="H144" s="814"/>
      <c r="I144" s="409"/>
      <c r="N144" s="563"/>
    </row>
    <row r="145" spans="1:14" ht="12.75">
      <c r="D145" s="542"/>
      <c r="E145" s="815"/>
      <c r="F145" s="816"/>
      <c r="G145" s="816"/>
      <c r="H145" s="817"/>
      <c r="N145" s="563"/>
    </row>
    <row r="146" spans="1:14" ht="12.75">
      <c r="D146" s="524"/>
      <c r="E146" s="815"/>
      <c r="F146" s="816"/>
      <c r="G146" s="816"/>
      <c r="H146" s="817"/>
      <c r="N146" s="563"/>
    </row>
    <row r="147" spans="1:14">
      <c r="A147" s="525" t="s">
        <v>1334</v>
      </c>
      <c r="E147" s="814"/>
      <c r="F147" s="814"/>
      <c r="G147" s="814"/>
      <c r="H147" s="814"/>
      <c r="N147" s="563"/>
    </row>
    <row r="148" spans="1:14">
      <c r="A148" s="525"/>
      <c r="D148" s="312" t="s">
        <v>1335</v>
      </c>
      <c r="E148" s="814"/>
      <c r="F148" s="814"/>
      <c r="G148" s="814"/>
      <c r="H148" s="814"/>
      <c r="N148" s="563"/>
    </row>
    <row r="149" spans="1:14">
      <c r="A149" s="525"/>
      <c r="E149" s="800"/>
      <c r="F149" s="800"/>
      <c r="G149" s="800"/>
      <c r="H149" s="800"/>
      <c r="N149" s="563"/>
    </row>
    <row r="150" spans="1:14" ht="33.75">
      <c r="A150" s="525"/>
      <c r="C150" s="530" t="s">
        <v>1357</v>
      </c>
      <c r="D150" s="531"/>
      <c r="E150" s="722"/>
      <c r="F150" s="722"/>
      <c r="G150" s="722"/>
      <c r="H150" s="818"/>
      <c r="I150" s="532"/>
      <c r="J150" s="535"/>
      <c r="K150" s="535" t="s">
        <v>1358</v>
      </c>
      <c r="L150" s="569"/>
      <c r="M150" s="569"/>
      <c r="N150" s="567"/>
    </row>
    <row r="151" spans="1:14" ht="38.25">
      <c r="C151" s="533" t="s">
        <v>1359</v>
      </c>
      <c r="D151" s="534" t="s">
        <v>1017</v>
      </c>
      <c r="E151" s="659" t="s">
        <v>562</v>
      </c>
      <c r="F151" s="659"/>
      <c r="G151" s="659"/>
      <c r="H151" s="805"/>
      <c r="I151" s="430"/>
      <c r="J151" s="562" t="s">
        <v>1336</v>
      </c>
      <c r="K151" s="783" t="s">
        <v>1337</v>
      </c>
      <c r="L151" s="490"/>
      <c r="M151" s="569"/>
      <c r="N151" s="567"/>
    </row>
    <row r="152" spans="1:14" ht="33.75">
      <c r="C152" s="782" t="s">
        <v>1006</v>
      </c>
      <c r="D152" s="534" t="s">
        <v>1360</v>
      </c>
      <c r="E152" s="722"/>
      <c r="F152" s="722"/>
      <c r="G152" s="722"/>
      <c r="H152" s="818"/>
      <c r="I152" s="532"/>
      <c r="J152" s="783" t="s">
        <v>1189</v>
      </c>
      <c r="K152" s="783" t="s">
        <v>1196</v>
      </c>
      <c r="L152" s="569"/>
      <c r="M152" s="569"/>
      <c r="N152" s="567"/>
    </row>
    <row r="153" spans="1:14" ht="33.75">
      <c r="C153" s="782" t="s">
        <v>598</v>
      </c>
      <c r="D153" s="531" t="s">
        <v>1361</v>
      </c>
      <c r="E153" s="722" t="s">
        <v>562</v>
      </c>
      <c r="F153" s="722" t="s">
        <v>562</v>
      </c>
      <c r="G153" s="722"/>
      <c r="H153" s="818" t="s">
        <v>587</v>
      </c>
      <c r="I153" s="532"/>
      <c r="J153" s="535"/>
      <c r="K153" s="783" t="s">
        <v>1191</v>
      </c>
      <c r="L153" s="569"/>
      <c r="M153" s="569"/>
      <c r="N153" s="573"/>
    </row>
    <row r="154" spans="1:14" ht="38.25">
      <c r="C154" s="533" t="s">
        <v>1339</v>
      </c>
      <c r="D154" s="531" t="s">
        <v>1435</v>
      </c>
      <c r="E154" s="722"/>
      <c r="F154" s="722"/>
      <c r="G154" s="722"/>
      <c r="H154" s="818"/>
      <c r="I154" s="532"/>
      <c r="J154" s="535"/>
      <c r="K154" s="535" t="s">
        <v>1340</v>
      </c>
      <c r="L154" s="569"/>
      <c r="M154" s="569"/>
      <c r="N154" s="573"/>
    </row>
    <row r="155" spans="1:14" ht="25.5">
      <c r="C155" s="530" t="s">
        <v>1341</v>
      </c>
      <c r="D155" s="531" t="s">
        <v>1362</v>
      </c>
      <c r="E155" s="722"/>
      <c r="F155" s="722"/>
      <c r="G155" s="722"/>
      <c r="H155" s="818" t="s">
        <v>587</v>
      </c>
      <c r="I155" s="532"/>
      <c r="J155" s="535"/>
      <c r="K155" s="535" t="s">
        <v>1425</v>
      </c>
      <c r="L155" s="569"/>
      <c r="M155" s="569"/>
      <c r="N155" s="573"/>
    </row>
    <row r="156" spans="1:14" ht="25.5">
      <c r="C156" s="536" t="s">
        <v>1353</v>
      </c>
      <c r="D156" s="531" t="s">
        <v>1363</v>
      </c>
      <c r="E156" s="722" t="s">
        <v>562</v>
      </c>
      <c r="F156" s="722" t="s">
        <v>562</v>
      </c>
      <c r="G156" s="722"/>
      <c r="H156" s="818"/>
      <c r="I156" s="532"/>
      <c r="J156" s="535"/>
      <c r="K156" s="535" t="s">
        <v>1426</v>
      </c>
      <c r="L156" s="569"/>
      <c r="M156" s="569"/>
      <c r="N156" s="573"/>
    </row>
    <row r="157" spans="1:14" ht="25.5">
      <c r="C157" s="536" t="s">
        <v>1351</v>
      </c>
      <c r="D157" s="531" t="s">
        <v>1364</v>
      </c>
      <c r="E157" s="722"/>
      <c r="F157" s="722"/>
      <c r="G157" s="722"/>
      <c r="H157" s="818"/>
      <c r="I157" s="532"/>
      <c r="J157" s="535"/>
      <c r="K157" s="535" t="s">
        <v>1352</v>
      </c>
      <c r="L157" s="569"/>
      <c r="M157" s="569"/>
      <c r="N157" s="573"/>
    </row>
    <row r="158" spans="1:14" ht="38.25">
      <c r="C158" s="536" t="s">
        <v>1350</v>
      </c>
      <c r="D158" s="531" t="s">
        <v>1365</v>
      </c>
      <c r="E158" s="722" t="s">
        <v>562</v>
      </c>
      <c r="F158" s="722" t="s">
        <v>562</v>
      </c>
      <c r="G158" s="722"/>
      <c r="H158" s="818"/>
      <c r="I158" s="532"/>
      <c r="J158" s="535"/>
      <c r="K158" s="535" t="s">
        <v>1349</v>
      </c>
      <c r="L158" s="569"/>
      <c r="M158" s="569"/>
      <c r="N158" s="573"/>
    </row>
    <row r="159" spans="1:14">
      <c r="C159" s="530" t="s">
        <v>1354</v>
      </c>
      <c r="D159" s="531" t="s">
        <v>1366</v>
      </c>
      <c r="E159" s="722" t="s">
        <v>587</v>
      </c>
      <c r="F159" s="722"/>
      <c r="G159" s="722"/>
      <c r="H159" s="818"/>
      <c r="I159" s="532"/>
      <c r="J159" s="535"/>
      <c r="K159" s="535" t="s">
        <v>1427</v>
      </c>
      <c r="L159" s="569"/>
      <c r="M159" s="569"/>
      <c r="N159" s="573"/>
    </row>
    <row r="160" spans="1:14">
      <c r="C160" s="530" t="s">
        <v>1355</v>
      </c>
      <c r="D160" s="531" t="s">
        <v>1367</v>
      </c>
      <c r="E160" s="722" t="s">
        <v>562</v>
      </c>
      <c r="F160" s="722"/>
      <c r="G160" s="722" t="s">
        <v>562</v>
      </c>
      <c r="H160" s="818" t="s">
        <v>562</v>
      </c>
      <c r="I160" s="532"/>
      <c r="J160" s="535"/>
      <c r="K160" s="535" t="s">
        <v>1356</v>
      </c>
      <c r="L160" s="569"/>
      <c r="M160" s="569"/>
      <c r="N160" s="573"/>
    </row>
  </sheetData>
  <mergeCells count="64">
    <mergeCell ref="A3:D3"/>
    <mergeCell ref="E3:G3"/>
    <mergeCell ref="A4:D4"/>
    <mergeCell ref="A5:D5"/>
    <mergeCell ref="A6:D10"/>
    <mergeCell ref="E6:G6"/>
    <mergeCell ref="E7:G7"/>
    <mergeCell ref="E8:G8"/>
    <mergeCell ref="E9:G9"/>
    <mergeCell ref="E10:G10"/>
    <mergeCell ref="A12:A23"/>
    <mergeCell ref="B12:B23"/>
    <mergeCell ref="C12:C20"/>
    <mergeCell ref="A24:A38"/>
    <mergeCell ref="B24:B38"/>
    <mergeCell ref="C24:C26"/>
    <mergeCell ref="C36:C37"/>
    <mergeCell ref="C66:C67"/>
    <mergeCell ref="J66:J67"/>
    <mergeCell ref="K66:K67"/>
    <mergeCell ref="A39:A52"/>
    <mergeCell ref="B39:B52"/>
    <mergeCell ref="C39:C40"/>
    <mergeCell ref="A53:A74"/>
    <mergeCell ref="B53:B74"/>
    <mergeCell ref="C53:C58"/>
    <mergeCell ref="C70:C71"/>
    <mergeCell ref="J53:J58"/>
    <mergeCell ref="K53:K58"/>
    <mergeCell ref="C59:C65"/>
    <mergeCell ref="J59:J65"/>
    <mergeCell ref="K59:K65"/>
    <mergeCell ref="K70:K71"/>
    <mergeCell ref="A75:A83"/>
    <mergeCell ref="B75:B83"/>
    <mergeCell ref="C75:C79"/>
    <mergeCell ref="J75:J79"/>
    <mergeCell ref="K75:K79"/>
    <mergeCell ref="C81:C83"/>
    <mergeCell ref="A89:A101"/>
    <mergeCell ref="B89:B101"/>
    <mergeCell ref="C89:C92"/>
    <mergeCell ref="C96:C101"/>
    <mergeCell ref="J96:J101"/>
    <mergeCell ref="A84:A88"/>
    <mergeCell ref="B84:B88"/>
    <mergeCell ref="C84:C88"/>
    <mergeCell ref="J84:J88"/>
    <mergeCell ref="K84:K88"/>
    <mergeCell ref="K124:K125"/>
    <mergeCell ref="A131:A133"/>
    <mergeCell ref="B131:B133"/>
    <mergeCell ref="A102:A119"/>
    <mergeCell ref="B102:B119"/>
    <mergeCell ref="C103:C107"/>
    <mergeCell ref="J103:J107"/>
    <mergeCell ref="K103:K107"/>
    <mergeCell ref="C108:C114"/>
    <mergeCell ref="C115:C119"/>
    <mergeCell ref="A134:A142"/>
    <mergeCell ref="B134:B142"/>
    <mergeCell ref="A120:A130"/>
    <mergeCell ref="B120:B130"/>
    <mergeCell ref="C120:C130"/>
  </mergeCells>
  <pageMargins left="0.25" right="0.25" top="0.75" bottom="0.75" header="0.3" footer="0.3"/>
  <pageSetup scale="36" fitToHeight="0" orientation="landscape" r:id="rId1"/>
  <rowBreaks count="1" manualBreakCount="1">
    <brk id="11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0"/>
  <sheetViews>
    <sheetView zoomScaleNormal="100" workbookViewId="0">
      <pane xSplit="4" ySplit="11" topLeftCell="E12" activePane="bottomRight" state="frozen"/>
      <selection pane="topRight" activeCell="E1" sqref="E1"/>
      <selection pane="bottomLeft" activeCell="A5" sqref="A5"/>
      <selection pane="bottomRight" activeCell="E24" sqref="E24"/>
    </sheetView>
  </sheetViews>
  <sheetFormatPr defaultColWidth="9" defaultRowHeight="15.75"/>
  <cols>
    <col min="1" max="1" width="6" style="312" customWidth="1"/>
    <col min="2" max="2" width="11" style="312" customWidth="1"/>
    <col min="3" max="3" width="21.125" style="417" customWidth="1"/>
    <col min="4" max="4" width="17.375" style="312" customWidth="1"/>
    <col min="5" max="8" width="8.625" style="312" customWidth="1"/>
    <col min="9" max="9" width="5.125" style="312" customWidth="1"/>
    <col min="10" max="10" width="20.125" style="527" customWidth="1"/>
    <col min="11" max="11" width="64.75" style="527" customWidth="1"/>
    <col min="12" max="12" width="14" style="563" customWidth="1"/>
    <col min="13" max="13" width="20.75" style="563" customWidth="1"/>
    <col min="14" max="14" width="42.875" style="647" customWidth="1"/>
    <col min="15" max="16384" width="9" style="312"/>
  </cols>
  <sheetData>
    <row r="1" spans="1:18" ht="26.25">
      <c r="A1" s="526" t="s">
        <v>1368</v>
      </c>
      <c r="B1" s="526"/>
      <c r="C1" s="537"/>
      <c r="D1" s="526"/>
      <c r="F1" s="312" t="s">
        <v>911</v>
      </c>
      <c r="G1" s="1576" t="s">
        <v>753</v>
      </c>
      <c r="H1" s="1576"/>
      <c r="N1" s="641" t="s">
        <v>1432</v>
      </c>
    </row>
    <row r="2" spans="1:18">
      <c r="N2" s="641" t="s">
        <v>1433</v>
      </c>
    </row>
    <row r="3" spans="1:18" ht="15.75" customHeight="1">
      <c r="A3" s="1598" t="s">
        <v>706</v>
      </c>
      <c r="B3" s="1568"/>
      <c r="C3" s="1568"/>
      <c r="D3" s="1568"/>
      <c r="E3" s="1617" t="s">
        <v>843</v>
      </c>
      <c r="F3" s="1618"/>
      <c r="G3" s="1618"/>
      <c r="H3" s="1619"/>
      <c r="I3" s="455"/>
      <c r="J3" s="549"/>
      <c r="K3" s="543"/>
      <c r="L3" s="565"/>
      <c r="M3" s="565"/>
      <c r="N3" s="642" t="s">
        <v>1434</v>
      </c>
      <c r="O3" s="404"/>
      <c r="P3" s="404"/>
      <c r="Q3" s="404"/>
      <c r="R3" s="404"/>
    </row>
    <row r="4" spans="1:18" ht="63" customHeight="1">
      <c r="A4" s="1598" t="s">
        <v>845</v>
      </c>
      <c r="B4" s="1568"/>
      <c r="C4" s="1568"/>
      <c r="D4" s="1568"/>
      <c r="E4" s="677" t="s">
        <v>1459</v>
      </c>
      <c r="F4" s="521" t="s">
        <v>1100</v>
      </c>
      <c r="G4" s="523" t="s">
        <v>1057</v>
      </c>
      <c r="H4" s="522" t="s">
        <v>1064</v>
      </c>
      <c r="I4" s="456"/>
      <c r="J4" s="550"/>
      <c r="K4" s="543"/>
      <c r="L4" s="565"/>
      <c r="M4" s="565"/>
      <c r="N4" s="643"/>
      <c r="O4" s="404"/>
      <c r="P4" s="404"/>
      <c r="Q4" s="404"/>
      <c r="R4" s="404"/>
    </row>
    <row r="5" spans="1:18" ht="18">
      <c r="A5" s="1598" t="s">
        <v>1039</v>
      </c>
      <c r="B5" s="1568"/>
      <c r="C5" s="1568"/>
      <c r="D5" s="1568"/>
      <c r="E5" s="777"/>
      <c r="F5" s="778"/>
      <c r="G5" s="521" t="s">
        <v>1058</v>
      </c>
      <c r="H5" s="522" t="s">
        <v>1059</v>
      </c>
      <c r="I5" s="456"/>
      <c r="J5" s="550"/>
      <c r="K5" s="543"/>
      <c r="L5" s="565"/>
      <c r="M5" s="565"/>
      <c r="N5" s="643"/>
      <c r="O5" s="404"/>
      <c r="P5" s="404"/>
      <c r="Q5" s="404"/>
      <c r="R5" s="404"/>
    </row>
    <row r="6" spans="1:18" ht="26.25" hidden="1" customHeight="1">
      <c r="A6" s="1599" t="s">
        <v>1026</v>
      </c>
      <c r="B6" s="1569"/>
      <c r="C6" s="1569"/>
      <c r="D6" s="1569"/>
      <c r="E6" s="1622" t="s">
        <v>1396</v>
      </c>
      <c r="F6" s="1623"/>
      <c r="G6" s="1623"/>
      <c r="H6" s="1624"/>
      <c r="I6" s="456"/>
      <c r="J6" s="550"/>
      <c r="K6" s="543"/>
      <c r="L6" s="565"/>
      <c r="M6" s="565"/>
      <c r="N6" s="643"/>
      <c r="O6" s="404"/>
      <c r="P6" s="404"/>
      <c r="Q6" s="404"/>
      <c r="R6" s="404"/>
    </row>
    <row r="7" spans="1:18" ht="15" hidden="1" customHeight="1">
      <c r="A7" s="1600"/>
      <c r="B7" s="1570"/>
      <c r="C7" s="1570"/>
      <c r="D7" s="1570"/>
      <c r="E7" s="1554"/>
      <c r="F7" s="1555"/>
      <c r="G7" s="1555"/>
      <c r="H7" s="1556"/>
      <c r="I7" s="456"/>
      <c r="J7" s="550"/>
      <c r="K7" s="543"/>
      <c r="L7" s="565"/>
      <c r="M7" s="565"/>
      <c r="N7" s="643"/>
      <c r="O7" s="404"/>
      <c r="P7" s="404"/>
      <c r="Q7" s="404"/>
      <c r="R7" s="404"/>
    </row>
    <row r="8" spans="1:18" ht="23.25" hidden="1" customHeight="1">
      <c r="A8" s="1600"/>
      <c r="B8" s="1570"/>
      <c r="C8" s="1570"/>
      <c r="D8" s="1570"/>
      <c r="E8" s="1554"/>
      <c r="F8" s="1555"/>
      <c r="G8" s="1555"/>
      <c r="H8" s="1556"/>
      <c r="I8" s="456"/>
      <c r="J8" s="550"/>
      <c r="K8" s="543"/>
      <c r="L8" s="565"/>
      <c r="M8" s="565"/>
      <c r="N8" s="643"/>
      <c r="O8" s="404"/>
      <c r="P8" s="404"/>
      <c r="Q8" s="404"/>
      <c r="R8" s="404"/>
    </row>
    <row r="9" spans="1:18" ht="15" hidden="1" customHeight="1">
      <c r="A9" s="1600"/>
      <c r="B9" s="1570"/>
      <c r="C9" s="1570"/>
      <c r="D9" s="1570"/>
      <c r="E9" s="1554"/>
      <c r="F9" s="1555"/>
      <c r="G9" s="1555"/>
      <c r="H9" s="1556"/>
      <c r="I9" s="456"/>
      <c r="J9" s="550"/>
      <c r="K9" s="543"/>
      <c r="L9" s="565"/>
      <c r="M9" s="565"/>
      <c r="N9" s="643"/>
      <c r="O9" s="404"/>
      <c r="P9" s="404"/>
      <c r="Q9" s="404"/>
      <c r="R9" s="404"/>
    </row>
    <row r="10" spans="1:18" ht="15" hidden="1" customHeight="1" thickBot="1">
      <c r="A10" s="1601"/>
      <c r="B10" s="1571"/>
      <c r="C10" s="1571"/>
      <c r="D10" s="1571"/>
      <c r="E10" s="1565"/>
      <c r="F10" s="1566"/>
      <c r="G10" s="1566"/>
      <c r="H10" s="1567"/>
      <c r="I10" s="457"/>
      <c r="J10" s="551"/>
      <c r="K10" s="544"/>
      <c r="L10" s="565"/>
      <c r="M10" s="565"/>
      <c r="N10" s="643"/>
      <c r="O10" s="404"/>
      <c r="P10" s="404"/>
      <c r="Q10" s="404"/>
      <c r="R10" s="404"/>
    </row>
    <row r="11" spans="1:18" s="290" customFormat="1" ht="51">
      <c r="A11" s="405" t="s">
        <v>558</v>
      </c>
      <c r="B11" s="405" t="s">
        <v>557</v>
      </c>
      <c r="C11" s="405" t="s">
        <v>1331</v>
      </c>
      <c r="D11" s="520" t="s">
        <v>1330</v>
      </c>
      <c r="E11" s="678"/>
      <c r="F11" s="515"/>
      <c r="G11" s="513"/>
      <c r="H11" s="514"/>
      <c r="I11" s="458"/>
      <c r="J11" s="550" t="s">
        <v>1329</v>
      </c>
      <c r="K11" s="512" t="s">
        <v>1328</v>
      </c>
      <c r="L11" s="405" t="s">
        <v>1327</v>
      </c>
      <c r="M11" s="511" t="s">
        <v>1326</v>
      </c>
      <c r="N11" s="644" t="s">
        <v>1430</v>
      </c>
      <c r="O11" s="510"/>
      <c r="P11" s="594"/>
      <c r="Q11" s="510"/>
      <c r="R11" s="510"/>
    </row>
    <row r="12" spans="1:18" ht="33.75">
      <c r="A12" s="1549"/>
      <c r="B12" s="1549" t="s">
        <v>856</v>
      </c>
      <c r="C12" s="1550" t="s">
        <v>981</v>
      </c>
      <c r="D12" s="575" t="s">
        <v>1077</v>
      </c>
      <c r="E12" s="679"/>
      <c r="F12" s="648" t="s">
        <v>562</v>
      </c>
      <c r="G12" s="660" t="s">
        <v>562</v>
      </c>
      <c r="H12" s="661" t="s">
        <v>562</v>
      </c>
      <c r="I12" s="579"/>
      <c r="J12" s="580" t="s">
        <v>1325</v>
      </c>
      <c r="K12" s="581" t="s">
        <v>1324</v>
      </c>
      <c r="L12" s="583" t="s">
        <v>1457</v>
      </c>
      <c r="M12" s="583"/>
      <c r="N12" s="643"/>
      <c r="O12" s="404"/>
      <c r="P12" s="404"/>
      <c r="Q12" s="404"/>
      <c r="R12" s="404"/>
    </row>
    <row r="13" spans="1:18" ht="22.5">
      <c r="A13" s="1549"/>
      <c r="B13" s="1549"/>
      <c r="C13" s="1550"/>
      <c r="D13" s="584" t="s">
        <v>1323</v>
      </c>
      <c r="E13" s="680" t="s">
        <v>587</v>
      </c>
      <c r="F13" s="648" t="s">
        <v>587</v>
      </c>
      <c r="G13" s="660" t="s">
        <v>562</v>
      </c>
      <c r="H13" s="661" t="s">
        <v>562</v>
      </c>
      <c r="I13" s="579"/>
      <c r="J13" s="580" t="s">
        <v>1322</v>
      </c>
      <c r="K13" s="581" t="s">
        <v>1397</v>
      </c>
      <c r="L13" s="582"/>
      <c r="M13" s="583"/>
      <c r="N13" s="643"/>
      <c r="O13" s="404"/>
      <c r="P13" s="404"/>
      <c r="Q13" s="404"/>
      <c r="R13" s="404"/>
    </row>
    <row r="14" spans="1:18" ht="22.5">
      <c r="A14" s="1549"/>
      <c r="B14" s="1549"/>
      <c r="C14" s="1550"/>
      <c r="D14" s="584" t="s">
        <v>1321</v>
      </c>
      <c r="E14" s="680" t="s">
        <v>587</v>
      </c>
      <c r="F14" s="648" t="s">
        <v>587</v>
      </c>
      <c r="G14" s="660" t="s">
        <v>587</v>
      </c>
      <c r="H14" s="661" t="s">
        <v>562</v>
      </c>
      <c r="I14" s="579"/>
      <c r="J14" s="581" t="s">
        <v>35</v>
      </c>
      <c r="K14" s="581" t="s">
        <v>1320</v>
      </c>
      <c r="L14" s="582"/>
      <c r="M14" s="583"/>
      <c r="N14" s="643"/>
      <c r="O14" s="404"/>
      <c r="P14" s="404"/>
      <c r="Q14" s="404"/>
      <c r="R14" s="404"/>
    </row>
    <row r="15" spans="1:18" ht="25.5">
      <c r="A15" s="1549"/>
      <c r="B15" s="1549"/>
      <c r="C15" s="1550"/>
      <c r="D15" s="584" t="s">
        <v>1319</v>
      </c>
      <c r="E15" s="680" t="s">
        <v>843</v>
      </c>
      <c r="F15" s="648" t="s">
        <v>587</v>
      </c>
      <c r="G15" s="660" t="s">
        <v>587</v>
      </c>
      <c r="H15" s="661" t="s">
        <v>587</v>
      </c>
      <c r="I15" s="579"/>
      <c r="J15" s="581" t="s">
        <v>1318</v>
      </c>
      <c r="K15" s="581" t="s">
        <v>1428</v>
      </c>
      <c r="L15" s="582"/>
      <c r="M15" s="583"/>
      <c r="N15" s="643"/>
      <c r="O15" s="404"/>
      <c r="P15" s="404"/>
      <c r="Q15" s="404"/>
      <c r="R15" s="404"/>
    </row>
    <row r="16" spans="1:18" ht="45">
      <c r="A16" s="1549"/>
      <c r="B16" s="1549"/>
      <c r="C16" s="1550"/>
      <c r="D16" s="584" t="s">
        <v>1317</v>
      </c>
      <c r="E16" s="680" t="s">
        <v>843</v>
      </c>
      <c r="F16" s="648" t="s">
        <v>587</v>
      </c>
      <c r="G16" s="660" t="s">
        <v>562</v>
      </c>
      <c r="H16" s="661" t="s">
        <v>587</v>
      </c>
      <c r="I16" s="579"/>
      <c r="J16" s="581" t="s">
        <v>1316</v>
      </c>
      <c r="K16" s="581" t="s">
        <v>1315</v>
      </c>
      <c r="L16" s="582"/>
      <c r="M16" s="583"/>
      <c r="N16" s="643"/>
      <c r="O16" s="404"/>
      <c r="P16" s="404"/>
      <c r="Q16" s="404"/>
      <c r="R16" s="404"/>
    </row>
    <row r="17" spans="1:18" ht="22.5">
      <c r="A17" s="1549"/>
      <c r="B17" s="1549"/>
      <c r="C17" s="1550"/>
      <c r="D17" s="584" t="s">
        <v>1314</v>
      </c>
      <c r="E17" s="680" t="s">
        <v>587</v>
      </c>
      <c r="F17" s="648" t="s">
        <v>587</v>
      </c>
      <c r="G17" s="660" t="s">
        <v>587</v>
      </c>
      <c r="H17" s="661" t="s">
        <v>562</v>
      </c>
      <c r="I17" s="579"/>
      <c r="J17" s="580" t="s">
        <v>1313</v>
      </c>
      <c r="K17" s="581" t="s">
        <v>1312</v>
      </c>
      <c r="L17" s="582"/>
      <c r="M17" s="583"/>
      <c r="N17" s="643"/>
      <c r="O17" s="404"/>
      <c r="P17" s="404"/>
      <c r="Q17" s="404"/>
      <c r="R17" s="404"/>
    </row>
    <row r="18" spans="1:18" ht="25.5">
      <c r="A18" s="1549"/>
      <c r="B18" s="1549"/>
      <c r="C18" s="1550"/>
      <c r="D18" s="584" t="s">
        <v>1311</v>
      </c>
      <c r="E18" s="679" t="s">
        <v>587</v>
      </c>
      <c r="F18" s="648"/>
      <c r="G18" s="660" t="s">
        <v>587</v>
      </c>
      <c r="H18" s="661" t="s">
        <v>587</v>
      </c>
      <c r="I18" s="579"/>
      <c r="J18" s="581" t="s">
        <v>979</v>
      </c>
      <c r="K18" s="587" t="s">
        <v>1310</v>
      </c>
      <c r="L18" s="582"/>
      <c r="M18" s="583"/>
      <c r="N18" s="643"/>
      <c r="O18" s="404"/>
      <c r="P18" s="404"/>
      <c r="Q18" s="404"/>
      <c r="R18" s="404"/>
    </row>
    <row r="19" spans="1:18" ht="22.5">
      <c r="A19" s="1549"/>
      <c r="B19" s="1549"/>
      <c r="C19" s="1550"/>
      <c r="D19" s="584" t="s">
        <v>1309</v>
      </c>
      <c r="E19" s="679" t="s">
        <v>587</v>
      </c>
      <c r="F19" s="648" t="s">
        <v>587</v>
      </c>
      <c r="G19" s="660" t="s">
        <v>587</v>
      </c>
      <c r="H19" s="661" t="s">
        <v>587</v>
      </c>
      <c r="I19" s="579"/>
      <c r="J19" s="581" t="s">
        <v>978</v>
      </c>
      <c r="K19" s="587" t="s">
        <v>1429</v>
      </c>
      <c r="L19" s="582"/>
      <c r="M19" s="583"/>
      <c r="N19" s="643"/>
      <c r="O19" s="404"/>
      <c r="P19" s="404"/>
      <c r="Q19" s="404"/>
      <c r="R19" s="404"/>
    </row>
    <row r="20" spans="1:18" ht="22.5">
      <c r="A20" s="1549"/>
      <c r="B20" s="1549"/>
      <c r="C20" s="1550"/>
      <c r="D20" s="584" t="s">
        <v>1308</v>
      </c>
      <c r="E20" s="679" t="s">
        <v>587</v>
      </c>
      <c r="F20" s="648" t="s">
        <v>587</v>
      </c>
      <c r="G20" s="660" t="s">
        <v>562</v>
      </c>
      <c r="H20" s="661" t="s">
        <v>562</v>
      </c>
      <c r="I20" s="579"/>
      <c r="J20" s="581" t="s">
        <v>980</v>
      </c>
      <c r="K20" s="587" t="s">
        <v>1398</v>
      </c>
      <c r="L20" s="582"/>
      <c r="M20" s="583"/>
      <c r="N20" s="643"/>
      <c r="O20" s="404"/>
      <c r="P20" s="404"/>
      <c r="Q20" s="404"/>
      <c r="R20" s="404"/>
    </row>
    <row r="21" spans="1:18" ht="25.5">
      <c r="A21" s="1549"/>
      <c r="B21" s="1549"/>
      <c r="C21" s="604" t="s">
        <v>1033</v>
      </c>
      <c r="D21" s="584" t="s">
        <v>1034</v>
      </c>
      <c r="E21" s="679"/>
      <c r="F21" s="648" t="s">
        <v>587</v>
      </c>
      <c r="G21" s="660" t="s">
        <v>562</v>
      </c>
      <c r="H21" s="661" t="s">
        <v>562</v>
      </c>
      <c r="I21" s="579"/>
      <c r="J21" s="588"/>
      <c r="K21" s="581" t="s">
        <v>1307</v>
      </c>
      <c r="L21" s="582"/>
      <c r="M21" s="583"/>
      <c r="N21" s="643" t="s">
        <v>1448</v>
      </c>
      <c r="O21" s="404"/>
      <c r="P21" s="404"/>
      <c r="Q21" s="404"/>
      <c r="R21" s="404"/>
    </row>
    <row r="22" spans="1:18" ht="33.75">
      <c r="A22" s="1549"/>
      <c r="B22" s="1549"/>
      <c r="C22" s="604" t="s">
        <v>857</v>
      </c>
      <c r="D22" s="584" t="s">
        <v>1306</v>
      </c>
      <c r="E22" s="679"/>
      <c r="F22" s="648" t="s">
        <v>562</v>
      </c>
      <c r="G22" s="660" t="s">
        <v>562</v>
      </c>
      <c r="H22" s="661" t="s">
        <v>562</v>
      </c>
      <c r="I22" s="579"/>
      <c r="J22" s="580" t="s">
        <v>1305</v>
      </c>
      <c r="K22" s="581" t="s">
        <v>1304</v>
      </c>
      <c r="L22" s="582"/>
      <c r="M22" s="583"/>
      <c r="N22" s="643"/>
      <c r="O22" s="404"/>
      <c r="P22" s="404"/>
      <c r="Q22" s="404"/>
      <c r="R22" s="404"/>
    </row>
    <row r="23" spans="1:18" ht="25.5">
      <c r="A23" s="1549"/>
      <c r="B23" s="1549"/>
      <c r="C23" s="589" t="s">
        <v>1067</v>
      </c>
      <c r="D23" s="584" t="s">
        <v>1303</v>
      </c>
      <c r="E23" s="680"/>
      <c r="F23" s="648"/>
      <c r="G23" s="660" t="s">
        <v>562</v>
      </c>
      <c r="H23" s="661" t="s">
        <v>562</v>
      </c>
      <c r="I23" s="579"/>
      <c r="J23" s="580" t="s">
        <v>1302</v>
      </c>
      <c r="K23" s="581" t="s">
        <v>1301</v>
      </c>
      <c r="L23" s="583" t="s">
        <v>1458</v>
      </c>
      <c r="M23" s="583"/>
      <c r="N23" s="643"/>
      <c r="O23" s="404"/>
      <c r="P23" s="404"/>
      <c r="Q23" s="404"/>
      <c r="R23" s="404"/>
    </row>
    <row r="24" spans="1:18" ht="45">
      <c r="A24" s="1551" t="s">
        <v>562</v>
      </c>
      <c r="B24" s="1551" t="s">
        <v>858</v>
      </c>
      <c r="C24" s="1519" t="s">
        <v>495</v>
      </c>
      <c r="D24" s="422" t="s">
        <v>1019</v>
      </c>
      <c r="E24" s="681"/>
      <c r="F24" s="649" t="s">
        <v>587</v>
      </c>
      <c r="G24" s="662" t="s">
        <v>587</v>
      </c>
      <c r="H24" s="663" t="s">
        <v>587</v>
      </c>
      <c r="I24" s="428"/>
      <c r="J24" s="528" t="s">
        <v>1300</v>
      </c>
      <c r="K24" s="494" t="s">
        <v>1299</v>
      </c>
      <c r="L24" s="538"/>
      <c r="M24" s="406"/>
      <c r="N24" s="643"/>
    </row>
    <row r="25" spans="1:18" ht="33.75">
      <c r="A25" s="1551"/>
      <c r="B25" s="1551"/>
      <c r="C25" s="1519"/>
      <c r="D25" s="422" t="s">
        <v>1298</v>
      </c>
      <c r="E25" s="681"/>
      <c r="F25" s="649" t="s">
        <v>587</v>
      </c>
      <c r="G25" s="662" t="s">
        <v>587</v>
      </c>
      <c r="H25" s="663" t="s">
        <v>562</v>
      </c>
      <c r="I25" s="428"/>
      <c r="J25" s="528" t="s">
        <v>1297</v>
      </c>
      <c r="K25" s="494" t="s">
        <v>1296</v>
      </c>
      <c r="L25" s="538"/>
      <c r="M25" s="406"/>
      <c r="N25" s="643"/>
    </row>
    <row r="26" spans="1:18" ht="33.75">
      <c r="A26" s="1551"/>
      <c r="B26" s="1551"/>
      <c r="C26" s="1519"/>
      <c r="D26" s="422" t="s">
        <v>1020</v>
      </c>
      <c r="E26" s="681"/>
      <c r="F26" s="649" t="s">
        <v>587</v>
      </c>
      <c r="G26" s="662" t="s">
        <v>587</v>
      </c>
      <c r="H26" s="663" t="s">
        <v>587</v>
      </c>
      <c r="I26" s="428"/>
      <c r="J26" s="528" t="s">
        <v>1295</v>
      </c>
      <c r="K26" s="494" t="s">
        <v>1399</v>
      </c>
      <c r="L26" s="538"/>
      <c r="M26" s="406"/>
      <c r="N26" s="643"/>
    </row>
    <row r="27" spans="1:18" ht="123.75">
      <c r="A27" s="1551"/>
      <c r="B27" s="1551"/>
      <c r="C27" s="597" t="s">
        <v>1016</v>
      </c>
      <c r="D27" s="422" t="s">
        <v>1294</v>
      </c>
      <c r="E27" s="681"/>
      <c r="F27" s="649" t="s">
        <v>562</v>
      </c>
      <c r="G27" s="662" t="s">
        <v>587</v>
      </c>
      <c r="H27" s="663" t="s">
        <v>562</v>
      </c>
      <c r="I27" s="428"/>
      <c r="J27" s="494" t="s">
        <v>1293</v>
      </c>
      <c r="K27" s="548" t="s">
        <v>1292</v>
      </c>
      <c r="L27" s="538"/>
      <c r="M27" s="406"/>
      <c r="N27" s="643" t="s">
        <v>1449</v>
      </c>
    </row>
    <row r="28" spans="1:18" ht="51">
      <c r="A28" s="1551"/>
      <c r="B28" s="1551"/>
      <c r="C28" s="597" t="s">
        <v>1344</v>
      </c>
      <c r="D28" s="422" t="s">
        <v>1345</v>
      </c>
      <c r="E28" s="681"/>
      <c r="F28" s="649"/>
      <c r="G28" s="662"/>
      <c r="H28" s="663"/>
      <c r="I28" s="428"/>
      <c r="J28" s="528"/>
      <c r="K28" s="548" t="s">
        <v>1346</v>
      </c>
      <c r="L28" s="538"/>
      <c r="M28" s="406"/>
      <c r="N28" s="643"/>
    </row>
    <row r="29" spans="1:18" ht="63.75">
      <c r="A29" s="1551"/>
      <c r="B29" s="1551"/>
      <c r="C29" s="597" t="s">
        <v>1078</v>
      </c>
      <c r="D29" s="422" t="s">
        <v>1291</v>
      </c>
      <c r="E29" s="681" t="s">
        <v>587</v>
      </c>
      <c r="F29" s="649" t="s">
        <v>587</v>
      </c>
      <c r="G29" s="662" t="s">
        <v>562</v>
      </c>
      <c r="H29" s="663" t="s">
        <v>562</v>
      </c>
      <c r="I29" s="428"/>
      <c r="J29" s="528" t="s">
        <v>1290</v>
      </c>
      <c r="K29" s="494" t="s">
        <v>1289</v>
      </c>
      <c r="L29" s="538"/>
      <c r="M29" s="406"/>
      <c r="N29" s="643"/>
    </row>
    <row r="30" spans="1:18" ht="38.25">
      <c r="A30" s="1551"/>
      <c r="B30" s="1551"/>
      <c r="C30" s="597" t="s">
        <v>1055</v>
      </c>
      <c r="D30" s="422" t="s">
        <v>1288</v>
      </c>
      <c r="E30" s="681" t="s">
        <v>1460</v>
      </c>
      <c r="F30" s="649" t="s">
        <v>562</v>
      </c>
      <c r="G30" s="662" t="s">
        <v>587</v>
      </c>
      <c r="H30" s="663" t="s">
        <v>562</v>
      </c>
      <c r="I30" s="428"/>
      <c r="J30" s="528" t="s">
        <v>1287</v>
      </c>
      <c r="K30" s="494" t="s">
        <v>1286</v>
      </c>
      <c r="L30" s="538"/>
      <c r="M30" s="406"/>
      <c r="N30" s="643"/>
    </row>
    <row r="31" spans="1:18" ht="51">
      <c r="A31" s="1551"/>
      <c r="B31" s="1551"/>
      <c r="C31" s="597" t="s">
        <v>1054</v>
      </c>
      <c r="D31" s="422" t="s">
        <v>1283</v>
      </c>
      <c r="E31" s="681" t="s">
        <v>587</v>
      </c>
      <c r="F31" s="649" t="s">
        <v>562</v>
      </c>
      <c r="G31" s="662" t="s">
        <v>587</v>
      </c>
      <c r="H31" s="663" t="s">
        <v>562</v>
      </c>
      <c r="I31" s="428"/>
      <c r="J31" s="528" t="s">
        <v>1282</v>
      </c>
      <c r="K31" s="494" t="s">
        <v>1285</v>
      </c>
      <c r="L31" s="538"/>
      <c r="M31" s="406"/>
      <c r="N31" s="643"/>
    </row>
    <row r="32" spans="1:18" ht="51">
      <c r="A32" s="1551"/>
      <c r="B32" s="1551"/>
      <c r="C32" s="597" t="s">
        <v>998</v>
      </c>
      <c r="D32" s="422" t="s">
        <v>1283</v>
      </c>
      <c r="E32" s="681" t="s">
        <v>562</v>
      </c>
      <c r="F32" s="649" t="s">
        <v>562</v>
      </c>
      <c r="G32" s="662" t="s">
        <v>587</v>
      </c>
      <c r="H32" s="663" t="s">
        <v>562</v>
      </c>
      <c r="I32" s="428"/>
      <c r="J32" s="528" t="s">
        <v>1282</v>
      </c>
      <c r="K32" s="494" t="s">
        <v>1284</v>
      </c>
      <c r="L32" s="538"/>
      <c r="M32" s="406"/>
      <c r="N32" s="643"/>
    </row>
    <row r="33" spans="1:14" ht="25.5">
      <c r="A33" s="1551"/>
      <c r="B33" s="1551"/>
      <c r="C33" s="597" t="s">
        <v>1076</v>
      </c>
      <c r="D33" s="422" t="s">
        <v>1283</v>
      </c>
      <c r="E33" s="681" t="s">
        <v>587</v>
      </c>
      <c r="F33" s="649" t="s">
        <v>587</v>
      </c>
      <c r="G33" s="662" t="s">
        <v>587</v>
      </c>
      <c r="H33" s="663" t="s">
        <v>587</v>
      </c>
      <c r="I33" s="428"/>
      <c r="J33" s="528" t="s">
        <v>1282</v>
      </c>
      <c r="K33" s="494" t="s">
        <v>1281</v>
      </c>
      <c r="L33" s="538"/>
      <c r="M33" s="406"/>
      <c r="N33" s="643"/>
    </row>
    <row r="34" spans="1:14" ht="51">
      <c r="A34" s="1551"/>
      <c r="B34" s="1551"/>
      <c r="C34" s="597" t="s">
        <v>965</v>
      </c>
      <c r="D34" s="422" t="s">
        <v>1280</v>
      </c>
      <c r="E34" s="681" t="s">
        <v>587</v>
      </c>
      <c r="F34" s="649"/>
      <c r="G34" s="662" t="s">
        <v>587</v>
      </c>
      <c r="H34" s="663" t="s">
        <v>587</v>
      </c>
      <c r="I34" s="428"/>
      <c r="J34" s="528" t="s">
        <v>1400</v>
      </c>
      <c r="K34" s="494" t="s">
        <v>1401</v>
      </c>
      <c r="L34" s="538"/>
      <c r="M34" s="406"/>
      <c r="N34" s="643"/>
    </row>
    <row r="35" spans="1:14" ht="25.5">
      <c r="A35" s="1551"/>
      <c r="B35" s="1551"/>
      <c r="C35" s="597" t="s">
        <v>999</v>
      </c>
      <c r="D35" s="422" t="s">
        <v>1279</v>
      </c>
      <c r="E35" s="681" t="s">
        <v>562</v>
      </c>
      <c r="F35" s="649" t="s">
        <v>562</v>
      </c>
      <c r="G35" s="662" t="s">
        <v>562</v>
      </c>
      <c r="H35" s="663" t="s">
        <v>562</v>
      </c>
      <c r="I35" s="428"/>
      <c r="J35" s="528" t="s">
        <v>1278</v>
      </c>
      <c r="K35" s="494" t="s">
        <v>1402</v>
      </c>
      <c r="L35" s="538"/>
      <c r="M35" s="406"/>
      <c r="N35" s="643"/>
    </row>
    <row r="36" spans="1:14" ht="25.5">
      <c r="A36" s="1551"/>
      <c r="B36" s="1551"/>
      <c r="C36" s="1520" t="s">
        <v>1075</v>
      </c>
      <c r="D36" s="422" t="s">
        <v>1277</v>
      </c>
      <c r="E36" s="681"/>
      <c r="F36" s="649" t="s">
        <v>587</v>
      </c>
      <c r="G36" s="662" t="s">
        <v>562</v>
      </c>
      <c r="H36" s="663" t="s">
        <v>562</v>
      </c>
      <c r="I36" s="428"/>
      <c r="J36" s="528" t="s">
        <v>1276</v>
      </c>
      <c r="K36" s="494"/>
      <c r="L36" s="538"/>
      <c r="M36" s="406"/>
      <c r="N36" s="1625" t="s">
        <v>1450</v>
      </c>
    </row>
    <row r="37" spans="1:14" ht="38.25">
      <c r="A37" s="1551"/>
      <c r="B37" s="1551"/>
      <c r="C37" s="1552"/>
      <c r="D37" s="422" t="s">
        <v>1275</v>
      </c>
      <c r="E37" s="681" t="s">
        <v>562</v>
      </c>
      <c r="F37" s="649"/>
      <c r="G37" s="662" t="s">
        <v>562</v>
      </c>
      <c r="H37" s="663" t="s">
        <v>562</v>
      </c>
      <c r="I37" s="428"/>
      <c r="J37" s="528" t="s">
        <v>1274</v>
      </c>
      <c r="K37" s="494" t="s">
        <v>1273</v>
      </c>
      <c r="L37" s="538"/>
      <c r="M37" s="406"/>
      <c r="N37" s="1626"/>
    </row>
    <row r="38" spans="1:14" ht="90">
      <c r="A38" s="1551"/>
      <c r="B38" s="1551"/>
      <c r="C38" s="597" t="s">
        <v>1053</v>
      </c>
      <c r="D38" s="422" t="s">
        <v>1272</v>
      </c>
      <c r="E38" s="681" t="s">
        <v>562</v>
      </c>
      <c r="F38" s="649" t="s">
        <v>562</v>
      </c>
      <c r="G38" s="662" t="s">
        <v>587</v>
      </c>
      <c r="H38" s="663" t="s">
        <v>562</v>
      </c>
      <c r="I38" s="428"/>
      <c r="J38" s="528" t="s">
        <v>1271</v>
      </c>
      <c r="K38" s="494" t="s">
        <v>1270</v>
      </c>
      <c r="L38" s="538"/>
      <c r="M38" s="406"/>
      <c r="N38" s="643"/>
    </row>
    <row r="39" spans="1:14" ht="25.5">
      <c r="A39" s="1528" t="s">
        <v>587</v>
      </c>
      <c r="B39" s="1528" t="s">
        <v>1038</v>
      </c>
      <c r="C39" s="1531" t="s">
        <v>1024</v>
      </c>
      <c r="D39" s="425" t="s">
        <v>1269</v>
      </c>
      <c r="E39" s="682"/>
      <c r="F39" s="650" t="s">
        <v>587</v>
      </c>
      <c r="G39" s="664" t="s">
        <v>562</v>
      </c>
      <c r="H39" s="665" t="s">
        <v>562</v>
      </c>
      <c r="I39" s="429"/>
      <c r="J39" s="552"/>
      <c r="K39" s="500"/>
      <c r="L39" s="539"/>
      <c r="M39" s="568"/>
      <c r="N39" s="643"/>
    </row>
    <row r="40" spans="1:14" ht="45">
      <c r="A40" s="1529"/>
      <c r="B40" s="1529"/>
      <c r="C40" s="1532"/>
      <c r="D40" s="425" t="s">
        <v>1074</v>
      </c>
      <c r="E40" s="682"/>
      <c r="F40" s="650" t="s">
        <v>587</v>
      </c>
      <c r="G40" s="664" t="s">
        <v>562</v>
      </c>
      <c r="H40" s="665" t="s">
        <v>562</v>
      </c>
      <c r="I40" s="429"/>
      <c r="J40" s="553" t="s">
        <v>1268</v>
      </c>
      <c r="K40" s="500" t="s">
        <v>1267</v>
      </c>
      <c r="L40" s="539"/>
      <c r="M40" s="568"/>
      <c r="N40" s="643"/>
    </row>
    <row r="41" spans="1:14" ht="51">
      <c r="A41" s="1529"/>
      <c r="B41" s="1529"/>
      <c r="C41" s="331" t="s">
        <v>1266</v>
      </c>
      <c r="D41" s="425" t="s">
        <v>1265</v>
      </c>
      <c r="E41" s="682"/>
      <c r="F41" s="650"/>
      <c r="G41" s="664" t="s">
        <v>562</v>
      </c>
      <c r="H41" s="665" t="s">
        <v>562</v>
      </c>
      <c r="I41" s="429"/>
      <c r="J41" s="553" t="s">
        <v>1264</v>
      </c>
      <c r="K41" s="545" t="s">
        <v>1403</v>
      </c>
      <c r="L41" s="539"/>
      <c r="M41" s="568"/>
      <c r="N41" s="643"/>
    </row>
    <row r="42" spans="1:14" ht="51">
      <c r="A42" s="1529"/>
      <c r="B42" s="1529"/>
      <c r="C42" s="331" t="s">
        <v>1263</v>
      </c>
      <c r="D42" s="425" t="s">
        <v>1404</v>
      </c>
      <c r="E42" s="682"/>
      <c r="F42" s="650"/>
      <c r="G42" s="664"/>
      <c r="H42" s="665"/>
      <c r="I42" s="429"/>
      <c r="J42" s="553" t="s">
        <v>1262</v>
      </c>
      <c r="K42" s="545" t="s">
        <v>1261</v>
      </c>
      <c r="L42" s="539"/>
      <c r="M42" s="568"/>
      <c r="N42" s="643"/>
    </row>
    <row r="43" spans="1:14" ht="33.75">
      <c r="A43" s="1529"/>
      <c r="B43" s="1529"/>
      <c r="C43" s="331" t="s">
        <v>1260</v>
      </c>
      <c r="D43" s="425" t="s">
        <v>1259</v>
      </c>
      <c r="E43" s="682"/>
      <c r="F43" s="650"/>
      <c r="G43" s="664" t="s">
        <v>562</v>
      </c>
      <c r="H43" s="665" t="s">
        <v>562</v>
      </c>
      <c r="I43" s="429"/>
      <c r="J43" s="552"/>
      <c r="K43" s="500" t="s">
        <v>1258</v>
      </c>
      <c r="L43" s="539"/>
      <c r="M43" s="568"/>
      <c r="N43" s="1625" t="s">
        <v>1451</v>
      </c>
    </row>
    <row r="44" spans="1:14" ht="25.5">
      <c r="A44" s="1529"/>
      <c r="B44" s="1529"/>
      <c r="C44" s="331" t="s">
        <v>1257</v>
      </c>
      <c r="D44" s="425" t="s">
        <v>1256</v>
      </c>
      <c r="E44" s="682"/>
      <c r="F44" s="650" t="s">
        <v>587</v>
      </c>
      <c r="G44" s="664" t="s">
        <v>562</v>
      </c>
      <c r="H44" s="665" t="s">
        <v>562</v>
      </c>
      <c r="I44" s="429"/>
      <c r="J44" s="552"/>
      <c r="K44" s="500" t="s">
        <v>1255</v>
      </c>
      <c r="L44" s="539"/>
      <c r="M44" s="568"/>
      <c r="N44" s="1627"/>
    </row>
    <row r="45" spans="1:14" ht="38.25">
      <c r="A45" s="1529"/>
      <c r="B45" s="1529"/>
      <c r="C45" s="331" t="s">
        <v>1254</v>
      </c>
      <c r="D45" s="425" t="s">
        <v>1253</v>
      </c>
      <c r="E45" s="682"/>
      <c r="F45" s="650"/>
      <c r="G45" s="664" t="s">
        <v>562</v>
      </c>
      <c r="H45" s="665" t="s">
        <v>562</v>
      </c>
      <c r="I45" s="429"/>
      <c r="J45" s="552"/>
      <c r="K45" s="500" t="s">
        <v>1252</v>
      </c>
      <c r="L45" s="539"/>
      <c r="M45" s="568"/>
      <c r="N45" s="1626"/>
    </row>
    <row r="46" spans="1:14" ht="45">
      <c r="A46" s="1529"/>
      <c r="B46" s="1529"/>
      <c r="C46" s="331" t="s">
        <v>1011</v>
      </c>
      <c r="D46" s="425" t="s">
        <v>1251</v>
      </c>
      <c r="E46" s="682"/>
      <c r="F46" s="650"/>
      <c r="G46" s="664" t="s">
        <v>562</v>
      </c>
      <c r="H46" s="665" t="s">
        <v>562</v>
      </c>
      <c r="I46" s="429"/>
      <c r="J46" s="553" t="s">
        <v>1250</v>
      </c>
      <c r="K46" s="500" t="s">
        <v>1249</v>
      </c>
      <c r="L46" s="539"/>
      <c r="M46" s="568"/>
      <c r="N46" s="643"/>
    </row>
    <row r="47" spans="1:14" ht="45">
      <c r="A47" s="1529"/>
      <c r="B47" s="1529"/>
      <c r="C47" s="331" t="s">
        <v>1248</v>
      </c>
      <c r="D47" s="425" t="s">
        <v>1247</v>
      </c>
      <c r="E47" s="682"/>
      <c r="F47" s="650"/>
      <c r="G47" s="664" t="s">
        <v>1455</v>
      </c>
      <c r="H47" s="665" t="s">
        <v>1455</v>
      </c>
      <c r="I47" s="429"/>
      <c r="J47" s="552"/>
      <c r="K47" s="500" t="s">
        <v>1246</v>
      </c>
      <c r="L47" s="539"/>
      <c r="M47" s="568"/>
      <c r="N47" s="643"/>
    </row>
    <row r="48" spans="1:14" ht="25.5">
      <c r="A48" s="1529"/>
      <c r="B48" s="1529"/>
      <c r="C48" s="331" t="s">
        <v>505</v>
      </c>
      <c r="D48" s="425" t="s">
        <v>1245</v>
      </c>
      <c r="E48" s="682"/>
      <c r="F48" s="650" t="s">
        <v>587</v>
      </c>
      <c r="G48" s="664" t="s">
        <v>562</v>
      </c>
      <c r="H48" s="665" t="s">
        <v>562</v>
      </c>
      <c r="I48" s="429"/>
      <c r="J48" s="552"/>
      <c r="K48" s="500" t="s">
        <v>1244</v>
      </c>
      <c r="L48" s="539"/>
      <c r="M48" s="568"/>
      <c r="N48" s="643"/>
    </row>
    <row r="49" spans="1:14" ht="33.75">
      <c r="A49" s="1529"/>
      <c r="B49" s="1529"/>
      <c r="C49" s="331" t="s">
        <v>1010</v>
      </c>
      <c r="D49" s="425" t="s">
        <v>1243</v>
      </c>
      <c r="E49" s="682"/>
      <c r="F49" s="650"/>
      <c r="G49" s="664" t="s">
        <v>562</v>
      </c>
      <c r="H49" s="665" t="s">
        <v>562</v>
      </c>
      <c r="I49" s="429"/>
      <c r="J49" s="552"/>
      <c r="K49" s="500" t="s">
        <v>1405</v>
      </c>
      <c r="L49" s="539"/>
      <c r="M49" s="568"/>
      <c r="N49" s="643"/>
    </row>
    <row r="50" spans="1:14" ht="51">
      <c r="A50" s="1529"/>
      <c r="B50" s="1529"/>
      <c r="C50" s="331" t="s">
        <v>507</v>
      </c>
      <c r="D50" s="425" t="s">
        <v>1242</v>
      </c>
      <c r="E50" s="682"/>
      <c r="F50" s="650"/>
      <c r="G50" s="664" t="s">
        <v>562</v>
      </c>
      <c r="H50" s="665" t="s">
        <v>562</v>
      </c>
      <c r="I50" s="429"/>
      <c r="J50" s="552"/>
      <c r="K50" s="500" t="s">
        <v>1406</v>
      </c>
      <c r="L50" s="539"/>
      <c r="M50" s="568"/>
      <c r="N50" s="643"/>
    </row>
    <row r="51" spans="1:14" ht="38.25">
      <c r="A51" s="1529"/>
      <c r="B51" s="1529"/>
      <c r="C51" s="331" t="s">
        <v>967</v>
      </c>
      <c r="D51" s="425" t="s">
        <v>1241</v>
      </c>
      <c r="E51" s="682"/>
      <c r="F51" s="650"/>
      <c r="G51" s="664" t="s">
        <v>562</v>
      </c>
      <c r="H51" s="665" t="s">
        <v>562</v>
      </c>
      <c r="I51" s="429"/>
      <c r="J51" s="553" t="s">
        <v>1240</v>
      </c>
      <c r="K51" s="500" t="s">
        <v>1239</v>
      </c>
      <c r="L51" s="539"/>
      <c r="M51" s="568"/>
      <c r="N51" s="643"/>
    </row>
    <row r="52" spans="1:14" ht="38.25">
      <c r="A52" s="1530"/>
      <c r="B52" s="1530"/>
      <c r="C52" s="338" t="s">
        <v>982</v>
      </c>
      <c r="D52" s="426" t="s">
        <v>1238</v>
      </c>
      <c r="E52" s="682"/>
      <c r="F52" s="650" t="s">
        <v>562</v>
      </c>
      <c r="G52" s="664" t="s">
        <v>562</v>
      </c>
      <c r="H52" s="665" t="s">
        <v>562</v>
      </c>
      <c r="I52" s="429"/>
      <c r="J52" s="552"/>
      <c r="K52" s="546" t="s">
        <v>1237</v>
      </c>
      <c r="L52" s="539"/>
      <c r="M52" s="568"/>
      <c r="N52" s="643"/>
    </row>
    <row r="53" spans="1:14" ht="12.75">
      <c r="A53" s="1536" t="s">
        <v>562</v>
      </c>
      <c r="B53" s="1536" t="s">
        <v>577</v>
      </c>
      <c r="C53" s="1537" t="s">
        <v>983</v>
      </c>
      <c r="D53" s="423" t="s">
        <v>859</v>
      </c>
      <c r="E53" s="683"/>
      <c r="F53" s="651"/>
      <c r="G53" s="659" t="s">
        <v>562</v>
      </c>
      <c r="H53" s="666" t="s">
        <v>562</v>
      </c>
      <c r="I53" s="430"/>
      <c r="J53" s="1523" t="s">
        <v>1236</v>
      </c>
      <c r="K53" s="1523" t="s">
        <v>1235</v>
      </c>
      <c r="L53" s="490"/>
      <c r="M53" s="569"/>
      <c r="N53" s="643"/>
    </row>
    <row r="54" spans="1:14" ht="12.75">
      <c r="A54" s="1536"/>
      <c r="B54" s="1536"/>
      <c r="C54" s="1538"/>
      <c r="D54" s="423" t="s">
        <v>860</v>
      </c>
      <c r="E54" s="683"/>
      <c r="F54" s="651"/>
      <c r="G54" s="659" t="s">
        <v>562</v>
      </c>
      <c r="H54" s="666" t="s">
        <v>562</v>
      </c>
      <c r="I54" s="430"/>
      <c r="J54" s="1545"/>
      <c r="K54" s="1545"/>
      <c r="L54" s="490"/>
      <c r="M54" s="569"/>
      <c r="N54" s="643"/>
    </row>
    <row r="55" spans="1:14" ht="12.75">
      <c r="A55" s="1536"/>
      <c r="B55" s="1536"/>
      <c r="C55" s="1538"/>
      <c r="D55" s="423" t="s">
        <v>861</v>
      </c>
      <c r="E55" s="683"/>
      <c r="F55" s="651"/>
      <c r="G55" s="659" t="s">
        <v>562</v>
      </c>
      <c r="H55" s="666" t="s">
        <v>562</v>
      </c>
      <c r="I55" s="430"/>
      <c r="J55" s="1545"/>
      <c r="K55" s="1545"/>
      <c r="L55" s="490"/>
      <c r="M55" s="569"/>
      <c r="N55" s="643"/>
    </row>
    <row r="56" spans="1:14" ht="12.75">
      <c r="A56" s="1536"/>
      <c r="B56" s="1536"/>
      <c r="C56" s="1538"/>
      <c r="D56" s="423" t="s">
        <v>862</v>
      </c>
      <c r="E56" s="683"/>
      <c r="F56" s="651"/>
      <c r="G56" s="659" t="s">
        <v>562</v>
      </c>
      <c r="H56" s="666" t="s">
        <v>562</v>
      </c>
      <c r="I56" s="430"/>
      <c r="J56" s="1545"/>
      <c r="K56" s="1545"/>
      <c r="L56" s="490"/>
      <c r="M56" s="569"/>
      <c r="N56" s="643"/>
    </row>
    <row r="57" spans="1:14" ht="12.75">
      <c r="A57" s="1536"/>
      <c r="B57" s="1536"/>
      <c r="C57" s="1538"/>
      <c r="D57" s="423" t="s">
        <v>863</v>
      </c>
      <c r="E57" s="683"/>
      <c r="F57" s="651"/>
      <c r="G57" s="659" t="s">
        <v>562</v>
      </c>
      <c r="H57" s="666" t="s">
        <v>562</v>
      </c>
      <c r="I57" s="430"/>
      <c r="J57" s="1545"/>
      <c r="K57" s="1545"/>
      <c r="L57" s="490"/>
      <c r="M57" s="569"/>
      <c r="N57" s="643"/>
    </row>
    <row r="58" spans="1:14" ht="12.75">
      <c r="A58" s="1536"/>
      <c r="B58" s="1536"/>
      <c r="C58" s="1539"/>
      <c r="D58" s="423" t="s">
        <v>864</v>
      </c>
      <c r="E58" s="683"/>
      <c r="F58" s="651"/>
      <c r="G58" s="659" t="s">
        <v>562</v>
      </c>
      <c r="H58" s="666" t="s">
        <v>562</v>
      </c>
      <c r="I58" s="430"/>
      <c r="J58" s="1524"/>
      <c r="K58" s="1524"/>
      <c r="L58" s="490"/>
      <c r="M58" s="569"/>
      <c r="N58" s="643"/>
    </row>
    <row r="59" spans="1:14" ht="12.75">
      <c r="A59" s="1536"/>
      <c r="B59" s="1536"/>
      <c r="C59" s="1522" t="s">
        <v>1021</v>
      </c>
      <c r="D59" s="423" t="s">
        <v>985</v>
      </c>
      <c r="E59" s="683"/>
      <c r="F59" s="651" t="s">
        <v>587</v>
      </c>
      <c r="G59" s="659" t="s">
        <v>562</v>
      </c>
      <c r="H59" s="666" t="s">
        <v>562</v>
      </c>
      <c r="I59" s="430"/>
      <c r="J59" s="1523" t="s">
        <v>1234</v>
      </c>
      <c r="K59" s="1523" t="s">
        <v>1233</v>
      </c>
      <c r="L59" s="490"/>
      <c r="M59" s="569"/>
      <c r="N59" s="1625" t="s">
        <v>1452</v>
      </c>
    </row>
    <row r="60" spans="1:14" ht="12.75">
      <c r="A60" s="1536"/>
      <c r="B60" s="1536"/>
      <c r="C60" s="1522"/>
      <c r="D60" s="423" t="s">
        <v>861</v>
      </c>
      <c r="E60" s="683"/>
      <c r="F60" s="651" t="s">
        <v>587</v>
      </c>
      <c r="G60" s="659" t="s">
        <v>562</v>
      </c>
      <c r="H60" s="666" t="s">
        <v>562</v>
      </c>
      <c r="I60" s="430"/>
      <c r="J60" s="1545"/>
      <c r="K60" s="1545"/>
      <c r="L60" s="490"/>
      <c r="M60" s="569"/>
      <c r="N60" s="1626"/>
    </row>
    <row r="61" spans="1:14" ht="12.75">
      <c r="A61" s="1536"/>
      <c r="B61" s="1536"/>
      <c r="C61" s="1522"/>
      <c r="D61" s="423" t="s">
        <v>860</v>
      </c>
      <c r="E61" s="683"/>
      <c r="F61" s="651"/>
      <c r="G61" s="659" t="s">
        <v>562</v>
      </c>
      <c r="H61" s="666" t="s">
        <v>562</v>
      </c>
      <c r="I61" s="430"/>
      <c r="J61" s="1545"/>
      <c r="K61" s="1545"/>
      <c r="L61" s="490"/>
      <c r="M61" s="569"/>
      <c r="N61" s="643"/>
    </row>
    <row r="62" spans="1:14" ht="12.75">
      <c r="A62" s="1536"/>
      <c r="B62" s="1536"/>
      <c r="C62" s="1522"/>
      <c r="D62" s="423" t="s">
        <v>859</v>
      </c>
      <c r="E62" s="683"/>
      <c r="F62" s="651"/>
      <c r="G62" s="659" t="s">
        <v>562</v>
      </c>
      <c r="H62" s="666" t="s">
        <v>562</v>
      </c>
      <c r="I62" s="430"/>
      <c r="J62" s="1545"/>
      <c r="K62" s="1545"/>
      <c r="L62" s="490"/>
      <c r="M62" s="569"/>
      <c r="N62" s="643"/>
    </row>
    <row r="63" spans="1:14" ht="25.5">
      <c r="A63" s="1536"/>
      <c r="B63" s="1536"/>
      <c r="C63" s="1522"/>
      <c r="D63" s="423" t="s">
        <v>984</v>
      </c>
      <c r="E63" s="683"/>
      <c r="F63" s="651"/>
      <c r="G63" s="659" t="s">
        <v>562</v>
      </c>
      <c r="H63" s="666" t="s">
        <v>562</v>
      </c>
      <c r="I63" s="430"/>
      <c r="J63" s="1545"/>
      <c r="K63" s="1545"/>
      <c r="L63" s="490"/>
      <c r="M63" s="569"/>
      <c r="N63" s="643"/>
    </row>
    <row r="64" spans="1:14" ht="12.75">
      <c r="A64" s="1536"/>
      <c r="B64" s="1536"/>
      <c r="C64" s="1522"/>
      <c r="D64" s="423" t="s">
        <v>863</v>
      </c>
      <c r="E64" s="683"/>
      <c r="F64" s="651"/>
      <c r="G64" s="659" t="s">
        <v>562</v>
      </c>
      <c r="H64" s="666" t="s">
        <v>562</v>
      </c>
      <c r="I64" s="430"/>
      <c r="J64" s="1545"/>
      <c r="K64" s="1545"/>
      <c r="L64" s="490"/>
      <c r="M64" s="569"/>
      <c r="N64" s="643"/>
    </row>
    <row r="65" spans="1:14" ht="12.75">
      <c r="A65" s="1536"/>
      <c r="B65" s="1536"/>
      <c r="C65" s="1522"/>
      <c r="D65" s="423" t="s">
        <v>862</v>
      </c>
      <c r="E65" s="683"/>
      <c r="F65" s="651"/>
      <c r="G65" s="659" t="s">
        <v>562</v>
      </c>
      <c r="H65" s="666" t="s">
        <v>562</v>
      </c>
      <c r="I65" s="430"/>
      <c r="J65" s="1524"/>
      <c r="K65" s="1524"/>
      <c r="L65" s="490"/>
      <c r="M65" s="569"/>
      <c r="N65" s="643"/>
    </row>
    <row r="66" spans="1:14" ht="25.5">
      <c r="A66" s="1536"/>
      <c r="B66" s="1536"/>
      <c r="C66" s="1522" t="s">
        <v>1027</v>
      </c>
      <c r="D66" s="423" t="s">
        <v>1232</v>
      </c>
      <c r="E66" s="683"/>
      <c r="F66" s="651"/>
      <c r="G66" s="659" t="s">
        <v>587</v>
      </c>
      <c r="H66" s="666" t="s">
        <v>562</v>
      </c>
      <c r="I66" s="430"/>
      <c r="J66" s="1523" t="s">
        <v>513</v>
      </c>
      <c r="K66" s="1548" t="s">
        <v>1407</v>
      </c>
      <c r="L66" s="490"/>
      <c r="M66" s="569"/>
      <c r="N66" s="643"/>
    </row>
    <row r="67" spans="1:14" ht="25.5">
      <c r="A67" s="1536"/>
      <c r="B67" s="1536"/>
      <c r="C67" s="1522"/>
      <c r="D67" s="423" t="s">
        <v>1231</v>
      </c>
      <c r="E67" s="683"/>
      <c r="F67" s="651"/>
      <c r="G67" s="659" t="s">
        <v>587</v>
      </c>
      <c r="H67" s="666" t="s">
        <v>562</v>
      </c>
      <c r="I67" s="430"/>
      <c r="J67" s="1524"/>
      <c r="K67" s="1548"/>
      <c r="L67" s="490"/>
      <c r="M67" s="569"/>
      <c r="N67" s="643"/>
    </row>
    <row r="68" spans="1:14" ht="67.5">
      <c r="A68" s="1536"/>
      <c r="B68" s="1536"/>
      <c r="C68" s="601" t="s">
        <v>1079</v>
      </c>
      <c r="D68" s="423" t="s">
        <v>1230</v>
      </c>
      <c r="E68" s="683"/>
      <c r="F68" s="651"/>
      <c r="G68" s="659" t="s">
        <v>587</v>
      </c>
      <c r="H68" s="666" t="s">
        <v>562</v>
      </c>
      <c r="I68" s="430"/>
      <c r="J68" s="602" t="s">
        <v>1229</v>
      </c>
      <c r="K68" s="602" t="s">
        <v>1228</v>
      </c>
      <c r="L68" s="490"/>
      <c r="M68" s="569"/>
      <c r="N68" s="643"/>
    </row>
    <row r="69" spans="1:14" ht="76.5">
      <c r="A69" s="1536"/>
      <c r="B69" s="1536"/>
      <c r="C69" s="601" t="s">
        <v>1227</v>
      </c>
      <c r="D69" s="423" t="s">
        <v>1408</v>
      </c>
      <c r="E69" s="683"/>
      <c r="F69" s="651"/>
      <c r="G69" s="659" t="s">
        <v>587</v>
      </c>
      <c r="H69" s="666" t="s">
        <v>587</v>
      </c>
      <c r="I69" s="430"/>
      <c r="J69" s="602" t="s">
        <v>1226</v>
      </c>
      <c r="K69" s="602" t="s">
        <v>1409</v>
      </c>
      <c r="L69" s="490"/>
      <c r="M69" s="569"/>
      <c r="N69" s="643"/>
    </row>
    <row r="70" spans="1:14" ht="25.5">
      <c r="A70" s="1536"/>
      <c r="B70" s="1536"/>
      <c r="C70" s="1522" t="s">
        <v>1025</v>
      </c>
      <c r="D70" s="423" t="s">
        <v>1410</v>
      </c>
      <c r="E70" s="683"/>
      <c r="F70" s="651"/>
      <c r="G70" s="659" t="s">
        <v>587</v>
      </c>
      <c r="H70" s="666" t="s">
        <v>562</v>
      </c>
      <c r="I70" s="430"/>
      <c r="J70" s="602" t="s">
        <v>1225</v>
      </c>
      <c r="K70" s="1523" t="s">
        <v>1224</v>
      </c>
      <c r="L70" s="490"/>
      <c r="M70" s="569"/>
      <c r="N70" s="643"/>
    </row>
    <row r="71" spans="1:14" ht="12.75">
      <c r="A71" s="1536"/>
      <c r="B71" s="1536"/>
      <c r="C71" s="1522"/>
      <c r="D71" s="423" t="s">
        <v>1013</v>
      </c>
      <c r="E71" s="683"/>
      <c r="F71" s="651"/>
      <c r="G71" s="659" t="s">
        <v>587</v>
      </c>
      <c r="H71" s="666" t="s">
        <v>587</v>
      </c>
      <c r="I71" s="430"/>
      <c r="J71" s="602"/>
      <c r="K71" s="1524"/>
      <c r="L71" s="490"/>
      <c r="M71" s="569"/>
      <c r="N71" s="643"/>
    </row>
    <row r="72" spans="1:14" ht="25.5">
      <c r="A72" s="1536"/>
      <c r="B72" s="1536"/>
      <c r="C72" s="601" t="s">
        <v>1223</v>
      </c>
      <c r="D72" s="423" t="s">
        <v>1222</v>
      </c>
      <c r="E72" s="683"/>
      <c r="F72" s="651"/>
      <c r="G72" s="659" t="s">
        <v>562</v>
      </c>
      <c r="H72" s="666" t="s">
        <v>562</v>
      </c>
      <c r="I72" s="430"/>
      <c r="J72" s="602" t="s">
        <v>1221</v>
      </c>
      <c r="K72" s="602" t="s">
        <v>1220</v>
      </c>
      <c r="L72" s="490"/>
      <c r="M72" s="569"/>
      <c r="N72" s="643"/>
    </row>
    <row r="73" spans="1:14" ht="38.25">
      <c r="A73" s="1536"/>
      <c r="B73" s="1536"/>
      <c r="C73" s="601" t="s">
        <v>1069</v>
      </c>
      <c r="D73" s="423" t="s">
        <v>1219</v>
      </c>
      <c r="E73" s="683"/>
      <c r="F73" s="651"/>
      <c r="G73" s="659" t="s">
        <v>562</v>
      </c>
      <c r="H73" s="666" t="s">
        <v>562</v>
      </c>
      <c r="I73" s="430"/>
      <c r="J73" s="602"/>
      <c r="K73" s="602" t="s">
        <v>1411</v>
      </c>
      <c r="L73" s="490"/>
      <c r="M73" s="569"/>
      <c r="N73" s="643"/>
    </row>
    <row r="74" spans="1:14" ht="56.25">
      <c r="A74" s="1536"/>
      <c r="B74" s="1536"/>
      <c r="C74" s="601" t="s">
        <v>986</v>
      </c>
      <c r="D74" s="423" t="s">
        <v>1218</v>
      </c>
      <c r="E74" s="683"/>
      <c r="F74" s="651"/>
      <c r="G74" s="659" t="s">
        <v>562</v>
      </c>
      <c r="H74" s="666" t="s">
        <v>562</v>
      </c>
      <c r="I74" s="430"/>
      <c r="J74" s="602"/>
      <c r="K74" s="602" t="s">
        <v>1412</v>
      </c>
      <c r="L74" s="490"/>
      <c r="M74" s="569"/>
      <c r="N74" s="643"/>
    </row>
    <row r="75" spans="1:14" ht="12.75">
      <c r="A75" s="1525" t="s">
        <v>587</v>
      </c>
      <c r="B75" s="1525" t="s">
        <v>564</v>
      </c>
      <c r="C75" s="1526" t="s">
        <v>521</v>
      </c>
      <c r="D75" s="424" t="s">
        <v>1001</v>
      </c>
      <c r="E75" s="684"/>
      <c r="F75" s="652"/>
      <c r="G75" s="667" t="s">
        <v>587</v>
      </c>
      <c r="H75" s="668" t="s">
        <v>562</v>
      </c>
      <c r="I75" s="431"/>
      <c r="J75" s="1516" t="s">
        <v>1217</v>
      </c>
      <c r="K75" s="1527" t="s">
        <v>1216</v>
      </c>
      <c r="L75" s="491"/>
      <c r="M75" s="570"/>
      <c r="N75" s="643"/>
    </row>
    <row r="76" spans="1:14" ht="12.75">
      <c r="A76" s="1525"/>
      <c r="B76" s="1525"/>
      <c r="C76" s="1526"/>
      <c r="D76" s="424" t="s">
        <v>1002</v>
      </c>
      <c r="E76" s="684"/>
      <c r="F76" s="652"/>
      <c r="G76" s="667" t="s">
        <v>587</v>
      </c>
      <c r="H76" s="668" t="s">
        <v>562</v>
      </c>
      <c r="I76" s="431"/>
      <c r="J76" s="1517"/>
      <c r="K76" s="1527"/>
      <c r="L76" s="491"/>
      <c r="M76" s="570"/>
      <c r="N76" s="643"/>
    </row>
    <row r="77" spans="1:14" ht="12.75">
      <c r="A77" s="1525"/>
      <c r="B77" s="1525"/>
      <c r="C77" s="1526"/>
      <c r="D77" s="424" t="s">
        <v>1003</v>
      </c>
      <c r="E77" s="684"/>
      <c r="F77" s="652"/>
      <c r="G77" s="667" t="s">
        <v>587</v>
      </c>
      <c r="H77" s="668" t="s">
        <v>562</v>
      </c>
      <c r="I77" s="431"/>
      <c r="J77" s="1517"/>
      <c r="K77" s="1527"/>
      <c r="L77" s="491"/>
      <c r="M77" s="570"/>
      <c r="N77" s="643"/>
    </row>
    <row r="78" spans="1:14" ht="25.5">
      <c r="A78" s="1525"/>
      <c r="B78" s="1525"/>
      <c r="C78" s="1526"/>
      <c r="D78" s="424" t="s">
        <v>1068</v>
      </c>
      <c r="E78" s="684"/>
      <c r="F78" s="652"/>
      <c r="G78" s="667" t="s">
        <v>587</v>
      </c>
      <c r="H78" s="668" t="s">
        <v>562</v>
      </c>
      <c r="I78" s="431"/>
      <c r="J78" s="1517"/>
      <c r="K78" s="1527"/>
      <c r="L78" s="491"/>
      <c r="M78" s="570"/>
      <c r="N78" s="643"/>
    </row>
    <row r="79" spans="1:14" ht="12.75">
      <c r="A79" s="1525"/>
      <c r="B79" s="1525"/>
      <c r="C79" s="1526"/>
      <c r="D79" s="424" t="s">
        <v>1004</v>
      </c>
      <c r="E79" s="684"/>
      <c r="F79" s="652"/>
      <c r="G79" s="667" t="s">
        <v>587</v>
      </c>
      <c r="H79" s="668" t="s">
        <v>562</v>
      </c>
      <c r="I79" s="431"/>
      <c r="J79" s="1518"/>
      <c r="K79" s="1527"/>
      <c r="L79" s="491"/>
      <c r="M79" s="570"/>
      <c r="N79" s="643"/>
    </row>
    <row r="80" spans="1:14" ht="25.5">
      <c r="A80" s="1525"/>
      <c r="B80" s="1525"/>
      <c r="C80" s="599" t="s">
        <v>987</v>
      </c>
      <c r="D80" s="424" t="s">
        <v>1041</v>
      </c>
      <c r="E80" s="684"/>
      <c r="F80" s="652"/>
      <c r="G80" s="667" t="s">
        <v>587</v>
      </c>
      <c r="H80" s="668" t="s">
        <v>562</v>
      </c>
      <c r="I80" s="431"/>
      <c r="J80" s="554" t="s">
        <v>1215</v>
      </c>
      <c r="K80" s="600" t="s">
        <v>1214</v>
      </c>
      <c r="L80" s="491"/>
      <c r="M80" s="570"/>
      <c r="N80" s="643"/>
    </row>
    <row r="81" spans="1:14" ht="22.5">
      <c r="A81" s="1525"/>
      <c r="B81" s="1525"/>
      <c r="C81" s="1526" t="s">
        <v>523</v>
      </c>
      <c r="D81" s="424" t="s">
        <v>865</v>
      </c>
      <c r="E81" s="684"/>
      <c r="F81" s="652"/>
      <c r="G81" s="667" t="s">
        <v>587</v>
      </c>
      <c r="H81" s="668" t="s">
        <v>562</v>
      </c>
      <c r="I81" s="431"/>
      <c r="J81" s="554" t="s">
        <v>1213</v>
      </c>
      <c r="K81" s="600" t="s">
        <v>1212</v>
      </c>
      <c r="L81" s="491"/>
      <c r="M81" s="570"/>
      <c r="N81" s="643"/>
    </row>
    <row r="82" spans="1:14" ht="22.5">
      <c r="A82" s="1525"/>
      <c r="B82" s="1525"/>
      <c r="C82" s="1526"/>
      <c r="D82" s="424" t="s">
        <v>866</v>
      </c>
      <c r="E82" s="684"/>
      <c r="F82" s="652"/>
      <c r="G82" s="667" t="s">
        <v>587</v>
      </c>
      <c r="H82" s="668" t="s">
        <v>562</v>
      </c>
      <c r="I82" s="431"/>
      <c r="J82" s="554" t="s">
        <v>1211</v>
      </c>
      <c r="K82" s="600" t="s">
        <v>1210</v>
      </c>
      <c r="L82" s="491"/>
      <c r="M82" s="570"/>
      <c r="N82" s="643"/>
    </row>
    <row r="83" spans="1:14" ht="33.75">
      <c r="A83" s="1525"/>
      <c r="B83" s="1525"/>
      <c r="C83" s="1526"/>
      <c r="D83" s="424" t="s">
        <v>525</v>
      </c>
      <c r="E83" s="684"/>
      <c r="F83" s="652"/>
      <c r="G83" s="667" t="s">
        <v>587</v>
      </c>
      <c r="H83" s="668" t="s">
        <v>562</v>
      </c>
      <c r="I83" s="431"/>
      <c r="J83" s="554" t="s">
        <v>1209</v>
      </c>
      <c r="K83" s="600" t="s">
        <v>1208</v>
      </c>
      <c r="L83" s="491"/>
      <c r="M83" s="570"/>
      <c r="N83" s="643"/>
    </row>
    <row r="84" spans="1:14" ht="12.75">
      <c r="A84" s="1507" t="s">
        <v>562</v>
      </c>
      <c r="B84" s="1507" t="s">
        <v>589</v>
      </c>
      <c r="C84" s="1510" t="s">
        <v>988</v>
      </c>
      <c r="D84" s="424" t="s">
        <v>1040</v>
      </c>
      <c r="E84" s="684" t="s">
        <v>587</v>
      </c>
      <c r="F84" s="652"/>
      <c r="G84" s="667" t="s">
        <v>562</v>
      </c>
      <c r="H84" s="668" t="s">
        <v>562</v>
      </c>
      <c r="I84" s="431"/>
      <c r="J84" s="1516" t="s">
        <v>1207</v>
      </c>
      <c r="K84" s="1516" t="s">
        <v>1413</v>
      </c>
      <c r="L84" s="491"/>
      <c r="M84" s="570"/>
      <c r="N84" s="643"/>
    </row>
    <row r="85" spans="1:14" ht="12.75">
      <c r="A85" s="1508"/>
      <c r="B85" s="1508"/>
      <c r="C85" s="1511"/>
      <c r="D85" s="424" t="s">
        <v>437</v>
      </c>
      <c r="E85" s="684" t="s">
        <v>587</v>
      </c>
      <c r="F85" s="652" t="s">
        <v>562</v>
      </c>
      <c r="G85" s="667" t="s">
        <v>562</v>
      </c>
      <c r="H85" s="668" t="s">
        <v>562</v>
      </c>
      <c r="I85" s="431"/>
      <c r="J85" s="1517"/>
      <c r="K85" s="1517"/>
      <c r="L85" s="491"/>
      <c r="M85" s="570"/>
      <c r="N85" s="643"/>
    </row>
    <row r="86" spans="1:14" ht="12.75">
      <c r="A86" s="1508"/>
      <c r="B86" s="1508"/>
      <c r="C86" s="1511"/>
      <c r="D86" s="424" t="s">
        <v>445</v>
      </c>
      <c r="E86" s="684" t="s">
        <v>587</v>
      </c>
      <c r="F86" s="652" t="s">
        <v>562</v>
      </c>
      <c r="G86" s="667" t="s">
        <v>562</v>
      </c>
      <c r="H86" s="668" t="s">
        <v>562</v>
      </c>
      <c r="I86" s="431"/>
      <c r="J86" s="1517"/>
      <c r="K86" s="1517"/>
      <c r="L86" s="491"/>
      <c r="M86" s="570"/>
      <c r="N86" s="643"/>
    </row>
    <row r="87" spans="1:14" ht="12.75">
      <c r="A87" s="1508"/>
      <c r="B87" s="1508"/>
      <c r="C87" s="1511"/>
      <c r="D87" s="424" t="s">
        <v>1070</v>
      </c>
      <c r="E87" s="684" t="s">
        <v>587</v>
      </c>
      <c r="F87" s="652" t="s">
        <v>562</v>
      </c>
      <c r="G87" s="667" t="s">
        <v>562</v>
      </c>
      <c r="H87" s="668" t="s">
        <v>562</v>
      </c>
      <c r="I87" s="431"/>
      <c r="J87" s="1517"/>
      <c r="K87" s="1517"/>
      <c r="L87" s="491"/>
      <c r="M87" s="570"/>
      <c r="N87" s="643"/>
    </row>
    <row r="88" spans="1:14" ht="12.75">
      <c r="A88" s="1509"/>
      <c r="B88" s="1509"/>
      <c r="C88" s="1512"/>
      <c r="D88" s="424" t="s">
        <v>441</v>
      </c>
      <c r="E88" s="684"/>
      <c r="F88" s="652" t="s">
        <v>562</v>
      </c>
      <c r="G88" s="667" t="s">
        <v>562</v>
      </c>
      <c r="H88" s="668" t="s">
        <v>562</v>
      </c>
      <c r="I88" s="431"/>
      <c r="J88" s="1518"/>
      <c r="K88" s="1518"/>
      <c r="L88" s="491"/>
      <c r="M88" s="570"/>
      <c r="N88" s="643"/>
    </row>
    <row r="89" spans="1:14" ht="45">
      <c r="A89" s="1551"/>
      <c r="B89" s="1519" t="s">
        <v>1065</v>
      </c>
      <c r="C89" s="1520" t="s">
        <v>989</v>
      </c>
      <c r="D89" s="422" t="s">
        <v>1045</v>
      </c>
      <c r="E89" s="681"/>
      <c r="F89" s="649"/>
      <c r="G89" s="662" t="s">
        <v>587</v>
      </c>
      <c r="H89" s="663" t="s">
        <v>587</v>
      </c>
      <c r="I89" s="428"/>
      <c r="J89" s="528" t="s">
        <v>1206</v>
      </c>
      <c r="K89" s="494" t="s">
        <v>1205</v>
      </c>
      <c r="L89" s="571"/>
      <c r="M89" s="567"/>
      <c r="N89" s="643"/>
    </row>
    <row r="90" spans="1:14" ht="38.25">
      <c r="A90" s="1551"/>
      <c r="B90" s="1519"/>
      <c r="C90" s="1521"/>
      <c r="D90" s="422" t="s">
        <v>1042</v>
      </c>
      <c r="E90" s="681"/>
      <c r="F90" s="649"/>
      <c r="G90" s="662" t="s">
        <v>587</v>
      </c>
      <c r="H90" s="663" t="s">
        <v>587</v>
      </c>
      <c r="I90" s="428"/>
      <c r="J90" s="555"/>
      <c r="K90" s="494" t="s">
        <v>1414</v>
      </c>
      <c r="L90" s="571"/>
      <c r="M90" s="567"/>
      <c r="N90" s="643"/>
    </row>
    <row r="91" spans="1:14" ht="12.75">
      <c r="A91" s="1551"/>
      <c r="B91" s="1519"/>
      <c r="C91" s="1521"/>
      <c r="D91" s="422" t="s">
        <v>1044</v>
      </c>
      <c r="E91" s="681" t="s">
        <v>562</v>
      </c>
      <c r="F91" s="649" t="s">
        <v>562</v>
      </c>
      <c r="G91" s="662" t="s">
        <v>587</v>
      </c>
      <c r="H91" s="663" t="s">
        <v>587</v>
      </c>
      <c r="I91" s="428"/>
      <c r="J91" s="555"/>
      <c r="K91" s="494" t="s">
        <v>1415</v>
      </c>
      <c r="L91" s="571"/>
      <c r="M91" s="567"/>
      <c r="N91" s="1625" t="s">
        <v>1453</v>
      </c>
    </row>
    <row r="92" spans="1:14" ht="25.5">
      <c r="A92" s="1551"/>
      <c r="B92" s="1519"/>
      <c r="C92" s="1521"/>
      <c r="D92" s="422" t="s">
        <v>1072</v>
      </c>
      <c r="E92" s="681" t="s">
        <v>562</v>
      </c>
      <c r="F92" s="649" t="s">
        <v>562</v>
      </c>
      <c r="G92" s="662" t="s">
        <v>587</v>
      </c>
      <c r="H92" s="663" t="s">
        <v>587</v>
      </c>
      <c r="I92" s="428"/>
      <c r="J92" s="555"/>
      <c r="K92" s="494" t="s">
        <v>1414</v>
      </c>
      <c r="L92" s="571"/>
      <c r="M92" s="567"/>
      <c r="N92" s="1627"/>
    </row>
    <row r="93" spans="1:14" ht="12.75">
      <c r="A93" s="1551"/>
      <c r="B93" s="1519"/>
      <c r="C93" s="598"/>
      <c r="D93" s="422" t="s">
        <v>1416</v>
      </c>
      <c r="E93" s="681" t="s">
        <v>562</v>
      </c>
      <c r="F93" s="649" t="s">
        <v>562</v>
      </c>
      <c r="G93" s="662" t="s">
        <v>562</v>
      </c>
      <c r="H93" s="663" t="s">
        <v>562</v>
      </c>
      <c r="I93" s="428"/>
      <c r="J93" s="555"/>
      <c r="K93" s="494" t="s">
        <v>1417</v>
      </c>
      <c r="L93" s="571"/>
      <c r="M93" s="567"/>
      <c r="N93" s="1627"/>
    </row>
    <row r="94" spans="1:14" ht="25.5">
      <c r="A94" s="1551"/>
      <c r="B94" s="1519"/>
      <c r="C94" s="598"/>
      <c r="D94" s="422" t="s">
        <v>1073</v>
      </c>
      <c r="E94" s="681" t="s">
        <v>562</v>
      </c>
      <c r="F94" s="649" t="s">
        <v>562</v>
      </c>
      <c r="G94" s="662" t="s">
        <v>587</v>
      </c>
      <c r="H94" s="663" t="s">
        <v>587</v>
      </c>
      <c r="I94" s="428"/>
      <c r="J94" s="555"/>
      <c r="K94" s="494" t="s">
        <v>1418</v>
      </c>
      <c r="L94" s="571"/>
      <c r="M94" s="567"/>
      <c r="N94" s="1627"/>
    </row>
    <row r="95" spans="1:14" ht="38.25">
      <c r="A95" s="1551"/>
      <c r="B95" s="1519"/>
      <c r="C95" s="598"/>
      <c r="D95" s="422" t="s">
        <v>1062</v>
      </c>
      <c r="E95" s="681" t="s">
        <v>562</v>
      </c>
      <c r="F95" s="649" t="s">
        <v>562</v>
      </c>
      <c r="G95" s="662" t="s">
        <v>587</v>
      </c>
      <c r="H95" s="663" t="s">
        <v>587</v>
      </c>
      <c r="I95" s="428"/>
      <c r="J95" s="555"/>
      <c r="K95" s="494" t="s">
        <v>1419</v>
      </c>
      <c r="L95" s="571"/>
      <c r="M95" s="567"/>
      <c r="N95" s="1626"/>
    </row>
    <row r="96" spans="1:14" ht="22.5">
      <c r="A96" s="1551"/>
      <c r="B96" s="1519"/>
      <c r="C96" s="1489" t="s">
        <v>1436</v>
      </c>
      <c r="D96" s="538" t="s">
        <v>990</v>
      </c>
      <c r="E96" s="681" t="s">
        <v>562</v>
      </c>
      <c r="F96" s="649" t="s">
        <v>562</v>
      </c>
      <c r="G96" s="662" t="s">
        <v>587</v>
      </c>
      <c r="H96" s="663" t="s">
        <v>562</v>
      </c>
      <c r="I96" s="428"/>
      <c r="J96" s="1593" t="s">
        <v>898</v>
      </c>
      <c r="K96" s="494" t="s">
        <v>1204</v>
      </c>
      <c r="L96" s="571"/>
      <c r="M96" s="567"/>
      <c r="N96" s="643"/>
    </row>
    <row r="97" spans="1:14" ht="12.75">
      <c r="A97" s="1551"/>
      <c r="B97" s="1519"/>
      <c r="C97" s="1490"/>
      <c r="D97" s="538" t="s">
        <v>1043</v>
      </c>
      <c r="E97" s="681" t="s">
        <v>562</v>
      </c>
      <c r="F97" s="649" t="s">
        <v>562</v>
      </c>
      <c r="G97" s="662" t="s">
        <v>587</v>
      </c>
      <c r="H97" s="663" t="s">
        <v>587</v>
      </c>
      <c r="I97" s="428"/>
      <c r="J97" s="1594"/>
      <c r="K97" s="494" t="s">
        <v>1203</v>
      </c>
      <c r="L97" s="571"/>
      <c r="M97" s="567"/>
      <c r="N97" s="643"/>
    </row>
    <row r="98" spans="1:14" ht="12.75">
      <c r="A98" s="1551"/>
      <c r="B98" s="1519"/>
      <c r="C98" s="1490"/>
      <c r="D98" s="538" t="s">
        <v>992</v>
      </c>
      <c r="E98" s="681" t="s">
        <v>587</v>
      </c>
      <c r="F98" s="649"/>
      <c r="G98" s="662" t="s">
        <v>587</v>
      </c>
      <c r="H98" s="663" t="s">
        <v>562</v>
      </c>
      <c r="I98" s="428"/>
      <c r="J98" s="1594"/>
      <c r="K98" s="494" t="s">
        <v>1202</v>
      </c>
      <c r="L98" s="571"/>
      <c r="M98" s="567"/>
      <c r="N98" s="643"/>
    </row>
    <row r="99" spans="1:14" ht="22.5">
      <c r="A99" s="1551"/>
      <c r="B99" s="1519"/>
      <c r="C99" s="1490"/>
      <c r="D99" s="538" t="s">
        <v>1061</v>
      </c>
      <c r="E99" s="681" t="s">
        <v>587</v>
      </c>
      <c r="F99" s="649" t="s">
        <v>562</v>
      </c>
      <c r="G99" s="662" t="s">
        <v>562</v>
      </c>
      <c r="H99" s="663" t="s">
        <v>562</v>
      </c>
      <c r="I99" s="428"/>
      <c r="J99" s="1594"/>
      <c r="K99" s="494" t="s">
        <v>1201</v>
      </c>
      <c r="L99" s="571"/>
      <c r="M99" s="567"/>
      <c r="N99" s="643"/>
    </row>
    <row r="100" spans="1:14" ht="12.75">
      <c r="A100" s="1551"/>
      <c r="B100" s="1519"/>
      <c r="C100" s="1490"/>
      <c r="D100" s="538" t="s">
        <v>991</v>
      </c>
      <c r="E100" s="681" t="s">
        <v>562</v>
      </c>
      <c r="F100" s="649" t="s">
        <v>562</v>
      </c>
      <c r="G100" s="662" t="s">
        <v>562</v>
      </c>
      <c r="H100" s="663" t="s">
        <v>562</v>
      </c>
      <c r="I100" s="428"/>
      <c r="J100" s="1594"/>
      <c r="K100" s="494" t="s">
        <v>1200</v>
      </c>
      <c r="L100" s="571"/>
      <c r="M100" s="567"/>
      <c r="N100" s="643"/>
    </row>
    <row r="101" spans="1:14" ht="22.5">
      <c r="A101" s="1551"/>
      <c r="B101" s="1519"/>
      <c r="C101" s="1491"/>
      <c r="D101" s="640" t="s">
        <v>1066</v>
      </c>
      <c r="E101" s="681" t="s">
        <v>587</v>
      </c>
      <c r="F101" s="649"/>
      <c r="G101" s="662" t="s">
        <v>587</v>
      </c>
      <c r="H101" s="663" t="s">
        <v>562</v>
      </c>
      <c r="I101" s="428"/>
      <c r="J101" s="1595"/>
      <c r="K101" s="494" t="s">
        <v>1199</v>
      </c>
      <c r="L101" s="571"/>
      <c r="M101" s="567"/>
      <c r="N101" s="643"/>
    </row>
    <row r="102" spans="1:14" ht="45">
      <c r="A102" s="1495" t="s">
        <v>562</v>
      </c>
      <c r="B102" s="1495" t="s">
        <v>565</v>
      </c>
      <c r="C102" s="509" t="s">
        <v>1008</v>
      </c>
      <c r="D102" s="421" t="s">
        <v>1437</v>
      </c>
      <c r="E102" s="685"/>
      <c r="F102" s="653" t="s">
        <v>562</v>
      </c>
      <c r="G102" s="654" t="s">
        <v>587</v>
      </c>
      <c r="H102" s="669" t="s">
        <v>562</v>
      </c>
      <c r="I102" s="432"/>
      <c r="J102" s="556" t="s">
        <v>1189</v>
      </c>
      <c r="K102" s="504" t="s">
        <v>1198</v>
      </c>
      <c r="L102" s="571"/>
      <c r="M102" s="567"/>
      <c r="N102" s="643"/>
    </row>
    <row r="103" spans="1:14" ht="12.75">
      <c r="A103" s="1496"/>
      <c r="B103" s="1496"/>
      <c r="C103" s="1498" t="s">
        <v>1080</v>
      </c>
      <c r="D103" s="421" t="s">
        <v>1050</v>
      </c>
      <c r="E103" s="685" t="s">
        <v>562</v>
      </c>
      <c r="F103" s="653" t="s">
        <v>587</v>
      </c>
      <c r="G103" s="654" t="s">
        <v>587</v>
      </c>
      <c r="H103" s="669" t="s">
        <v>562</v>
      </c>
      <c r="I103" s="432"/>
      <c r="J103" s="1504" t="s">
        <v>1189</v>
      </c>
      <c r="K103" s="1504" t="s">
        <v>1197</v>
      </c>
      <c r="L103" s="571"/>
      <c r="M103" s="567"/>
      <c r="N103" s="643"/>
    </row>
    <row r="104" spans="1:14" ht="12.75">
      <c r="A104" s="1496"/>
      <c r="B104" s="1496"/>
      <c r="C104" s="1499"/>
      <c r="D104" s="421" t="s">
        <v>1049</v>
      </c>
      <c r="E104" s="685" t="s">
        <v>587</v>
      </c>
      <c r="F104" s="654"/>
      <c r="G104" s="654" t="s">
        <v>562</v>
      </c>
      <c r="H104" s="669" t="s">
        <v>562</v>
      </c>
      <c r="I104" s="432"/>
      <c r="J104" s="1505"/>
      <c r="K104" s="1505"/>
      <c r="L104" s="571"/>
      <c r="M104" s="567"/>
      <c r="N104" s="643"/>
    </row>
    <row r="105" spans="1:14" ht="12.75">
      <c r="A105" s="1496"/>
      <c r="B105" s="1496"/>
      <c r="C105" s="1499"/>
      <c r="D105" s="421" t="s">
        <v>1048</v>
      </c>
      <c r="E105" s="685" t="s">
        <v>562</v>
      </c>
      <c r="F105" s="654" t="s">
        <v>562</v>
      </c>
      <c r="G105" s="654" t="s">
        <v>587</v>
      </c>
      <c r="H105" s="669" t="s">
        <v>562</v>
      </c>
      <c r="I105" s="432"/>
      <c r="J105" s="1505"/>
      <c r="K105" s="1505"/>
      <c r="L105" s="571"/>
      <c r="M105" s="567"/>
      <c r="N105" s="643"/>
    </row>
    <row r="106" spans="1:14" ht="12.75">
      <c r="A106" s="1496"/>
      <c r="B106" s="1496"/>
      <c r="C106" s="1499"/>
      <c r="D106" s="421" t="s">
        <v>1447</v>
      </c>
      <c r="E106" s="685" t="s">
        <v>587</v>
      </c>
      <c r="F106" s="654" t="s">
        <v>562</v>
      </c>
      <c r="G106" s="654" t="s">
        <v>587</v>
      </c>
      <c r="H106" s="669" t="s">
        <v>587</v>
      </c>
      <c r="I106" s="432"/>
      <c r="J106" s="1505"/>
      <c r="K106" s="1505"/>
      <c r="L106" s="571"/>
      <c r="M106" s="567"/>
      <c r="N106" s="643"/>
    </row>
    <row r="107" spans="1:14" ht="12.75">
      <c r="A107" s="1496"/>
      <c r="B107" s="1496"/>
      <c r="C107" s="1500"/>
      <c r="D107" s="421" t="s">
        <v>1063</v>
      </c>
      <c r="E107" s="685" t="s">
        <v>587</v>
      </c>
      <c r="F107" s="654"/>
      <c r="G107" s="654" t="s">
        <v>562</v>
      </c>
      <c r="H107" s="669" t="s">
        <v>562</v>
      </c>
      <c r="I107" s="432"/>
      <c r="J107" s="1506"/>
      <c r="K107" s="1506"/>
      <c r="L107" s="571"/>
      <c r="M107" s="567"/>
      <c r="N107" s="643"/>
    </row>
    <row r="108" spans="1:14" ht="33.75">
      <c r="A108" s="1496"/>
      <c r="B108" s="1496"/>
      <c r="C108" s="1495" t="s">
        <v>1438</v>
      </c>
      <c r="D108" s="591" t="s">
        <v>1347</v>
      </c>
      <c r="E108" s="685"/>
      <c r="F108" s="654"/>
      <c r="G108" s="654"/>
      <c r="H108" s="669"/>
      <c r="I108" s="432"/>
      <c r="J108" s="557"/>
      <c r="K108" s="596" t="s">
        <v>1348</v>
      </c>
      <c r="L108" s="571"/>
      <c r="M108" s="567"/>
      <c r="N108" s="643"/>
    </row>
    <row r="109" spans="1:14" ht="38.25">
      <c r="A109" s="1496"/>
      <c r="B109" s="1496"/>
      <c r="C109" s="1496"/>
      <c r="D109" s="592" t="s">
        <v>1005</v>
      </c>
      <c r="E109" s="685"/>
      <c r="F109" s="653"/>
      <c r="G109" s="654" t="s">
        <v>562</v>
      </c>
      <c r="H109" s="669" t="s">
        <v>562</v>
      </c>
      <c r="I109" s="432"/>
      <c r="J109" s="556" t="s">
        <v>1189</v>
      </c>
      <c r="K109" s="504" t="s">
        <v>575</v>
      </c>
      <c r="L109" s="571"/>
      <c r="M109" s="567"/>
      <c r="N109" s="643"/>
    </row>
    <row r="110" spans="1:14" ht="38.25">
      <c r="A110" s="1496"/>
      <c r="B110" s="1496"/>
      <c r="C110" s="1496"/>
      <c r="D110" s="592" t="s">
        <v>953</v>
      </c>
      <c r="E110" s="685"/>
      <c r="F110" s="653"/>
      <c r="G110" s="654" t="s">
        <v>562</v>
      </c>
      <c r="H110" s="669" t="s">
        <v>587</v>
      </c>
      <c r="I110" s="432"/>
      <c r="J110" s="556" t="s">
        <v>1189</v>
      </c>
      <c r="K110" s="504" t="s">
        <v>1022</v>
      </c>
      <c r="L110" s="571"/>
      <c r="M110" s="567"/>
      <c r="N110" s="643"/>
    </row>
    <row r="111" spans="1:14" ht="51">
      <c r="A111" s="1496"/>
      <c r="B111" s="1496"/>
      <c r="C111" s="1496"/>
      <c r="D111" s="592" t="s">
        <v>580</v>
      </c>
      <c r="E111" s="685"/>
      <c r="F111" s="653" t="s">
        <v>587</v>
      </c>
      <c r="G111" s="654" t="s">
        <v>587</v>
      </c>
      <c r="H111" s="669" t="s">
        <v>562</v>
      </c>
      <c r="I111" s="432"/>
      <c r="J111" s="556" t="s">
        <v>1189</v>
      </c>
      <c r="K111" s="504" t="s">
        <v>1420</v>
      </c>
      <c r="L111" s="571"/>
      <c r="M111" s="567"/>
      <c r="N111" s="643"/>
    </row>
    <row r="112" spans="1:14" ht="45">
      <c r="A112" s="1496"/>
      <c r="B112" s="1496"/>
      <c r="C112" s="1496"/>
      <c r="D112" s="592" t="s">
        <v>1081</v>
      </c>
      <c r="E112" s="685"/>
      <c r="F112" s="653" t="s">
        <v>587</v>
      </c>
      <c r="G112" s="654" t="s">
        <v>562</v>
      </c>
      <c r="H112" s="669" t="s">
        <v>587</v>
      </c>
      <c r="I112" s="432"/>
      <c r="J112" s="556"/>
      <c r="K112" s="504" t="s">
        <v>1194</v>
      </c>
      <c r="L112" s="571"/>
      <c r="M112" s="567"/>
      <c r="N112" s="643" t="s">
        <v>1454</v>
      </c>
    </row>
    <row r="113" spans="1:14" ht="45">
      <c r="A113" s="1496"/>
      <c r="B113" s="1496"/>
      <c r="C113" s="1496"/>
      <c r="D113" s="592" t="s">
        <v>1082</v>
      </c>
      <c r="E113" s="685"/>
      <c r="F113" s="653" t="s">
        <v>562</v>
      </c>
      <c r="G113" s="654" t="s">
        <v>562</v>
      </c>
      <c r="H113" s="669" t="s">
        <v>562</v>
      </c>
      <c r="I113" s="432"/>
      <c r="J113" s="556" t="s">
        <v>1189</v>
      </c>
      <c r="K113" s="504" t="s">
        <v>1193</v>
      </c>
      <c r="L113" s="571"/>
      <c r="M113" s="567"/>
      <c r="N113" s="643"/>
    </row>
    <row r="114" spans="1:14" ht="51">
      <c r="A114" s="1496"/>
      <c r="B114" s="1496"/>
      <c r="C114" s="1497"/>
      <c r="D114" s="592" t="s">
        <v>1083</v>
      </c>
      <c r="E114" s="685"/>
      <c r="F114" s="653"/>
      <c r="G114" s="654" t="s">
        <v>587</v>
      </c>
      <c r="H114" s="669" t="s">
        <v>562</v>
      </c>
      <c r="I114" s="432"/>
      <c r="J114" s="556"/>
      <c r="K114" s="504" t="s">
        <v>1192</v>
      </c>
      <c r="L114" s="571"/>
      <c r="M114" s="567"/>
      <c r="N114" s="643"/>
    </row>
    <row r="115" spans="1:14" ht="78.75">
      <c r="A115" s="1496"/>
      <c r="B115" s="1496"/>
      <c r="C115" s="1495" t="s">
        <v>1439</v>
      </c>
      <c r="D115" s="592" t="s">
        <v>1084</v>
      </c>
      <c r="E115" s="685"/>
      <c r="F115" s="653" t="s">
        <v>587</v>
      </c>
      <c r="G115" s="654" t="s">
        <v>562</v>
      </c>
      <c r="H115" s="669" t="s">
        <v>562</v>
      </c>
      <c r="I115" s="432"/>
      <c r="J115" s="556"/>
      <c r="K115" s="504" t="s">
        <v>1421</v>
      </c>
      <c r="L115" s="571"/>
      <c r="M115" s="567"/>
      <c r="N115" s="643"/>
    </row>
    <row r="116" spans="1:14" ht="38.25">
      <c r="A116" s="1496"/>
      <c r="B116" s="1496"/>
      <c r="C116" s="1496"/>
      <c r="D116" s="592" t="s">
        <v>1007</v>
      </c>
      <c r="E116" s="685"/>
      <c r="F116" s="653"/>
      <c r="G116" s="654" t="s">
        <v>587</v>
      </c>
      <c r="H116" s="669" t="s">
        <v>587</v>
      </c>
      <c r="I116" s="432"/>
      <c r="J116" s="556"/>
      <c r="K116" s="504" t="s">
        <v>1422</v>
      </c>
      <c r="L116" s="571"/>
      <c r="M116" s="567"/>
      <c r="N116" s="643"/>
    </row>
    <row r="117" spans="1:14" ht="45">
      <c r="A117" s="1496"/>
      <c r="B117" s="1496"/>
      <c r="C117" s="1496"/>
      <c r="D117" s="592" t="s">
        <v>1056</v>
      </c>
      <c r="E117" s="685"/>
      <c r="F117" s="653"/>
      <c r="G117" s="654" t="s">
        <v>562</v>
      </c>
      <c r="H117" s="669" t="s">
        <v>562</v>
      </c>
      <c r="I117" s="432"/>
      <c r="J117" s="556" t="s">
        <v>1189</v>
      </c>
      <c r="K117" s="504" t="s">
        <v>1195</v>
      </c>
      <c r="L117" s="571"/>
      <c r="M117" s="567"/>
      <c r="N117" s="643"/>
    </row>
    <row r="118" spans="1:14" ht="51">
      <c r="A118" s="1496"/>
      <c r="B118" s="1496"/>
      <c r="C118" s="1496"/>
      <c r="D118" s="592" t="s">
        <v>1023</v>
      </c>
      <c r="E118" s="685"/>
      <c r="F118" s="653"/>
      <c r="G118" s="654" t="s">
        <v>562</v>
      </c>
      <c r="H118" s="669" t="s">
        <v>562</v>
      </c>
      <c r="I118" s="432"/>
      <c r="J118" s="556" t="s">
        <v>1189</v>
      </c>
      <c r="K118" s="504" t="s">
        <v>1190</v>
      </c>
      <c r="L118" s="571"/>
      <c r="M118" s="567"/>
      <c r="N118" s="643"/>
    </row>
    <row r="119" spans="1:14" ht="33.75">
      <c r="A119" s="1497"/>
      <c r="B119" s="1497"/>
      <c r="C119" s="1497"/>
      <c r="D119" s="592" t="s">
        <v>993</v>
      </c>
      <c r="E119" s="685"/>
      <c r="F119" s="653" t="s">
        <v>562</v>
      </c>
      <c r="G119" s="654" t="s">
        <v>562</v>
      </c>
      <c r="H119" s="669" t="s">
        <v>562</v>
      </c>
      <c r="I119" s="432"/>
      <c r="J119" s="556" t="s">
        <v>1189</v>
      </c>
      <c r="K119" s="504" t="s">
        <v>1423</v>
      </c>
      <c r="L119" s="571"/>
      <c r="M119" s="567"/>
      <c r="N119" s="643"/>
    </row>
    <row r="120" spans="1:14" ht="78.75">
      <c r="A120" s="1479" t="s">
        <v>587</v>
      </c>
      <c r="B120" s="1479" t="s">
        <v>573</v>
      </c>
      <c r="C120" s="1480" t="s">
        <v>1440</v>
      </c>
      <c r="D120" s="593" t="s">
        <v>1188</v>
      </c>
      <c r="E120" s="686"/>
      <c r="F120" s="655" t="s">
        <v>587</v>
      </c>
      <c r="G120" s="670" t="s">
        <v>587</v>
      </c>
      <c r="H120" s="671" t="s">
        <v>562</v>
      </c>
      <c r="I120" s="433"/>
      <c r="J120" s="558"/>
      <c r="K120" s="502" t="s">
        <v>1187</v>
      </c>
      <c r="L120" s="571"/>
      <c r="M120" s="567"/>
      <c r="N120" s="643"/>
    </row>
    <row r="121" spans="1:14" ht="38.25">
      <c r="A121" s="1479"/>
      <c r="B121" s="1479"/>
      <c r="C121" s="1481"/>
      <c r="D121" s="593" t="s">
        <v>1060</v>
      </c>
      <c r="E121" s="686"/>
      <c r="F121" s="655"/>
      <c r="G121" s="670" t="s">
        <v>587</v>
      </c>
      <c r="H121" s="671" t="s">
        <v>587</v>
      </c>
      <c r="I121" s="433"/>
      <c r="J121" s="558"/>
      <c r="K121" s="502" t="s">
        <v>1186</v>
      </c>
      <c r="L121" s="571"/>
      <c r="M121" s="567"/>
      <c r="N121" s="643"/>
    </row>
    <row r="122" spans="1:14" ht="25.5">
      <c r="A122" s="1479"/>
      <c r="B122" s="1479"/>
      <c r="C122" s="1481"/>
      <c r="D122" s="593" t="s">
        <v>1009</v>
      </c>
      <c r="E122" s="686"/>
      <c r="F122" s="655"/>
      <c r="G122" s="670" t="s">
        <v>562</v>
      </c>
      <c r="H122" s="671" t="s">
        <v>562</v>
      </c>
      <c r="I122" s="433"/>
      <c r="J122" s="558"/>
      <c r="K122" s="559" t="s">
        <v>1441</v>
      </c>
      <c r="L122" s="571"/>
      <c r="M122" s="567"/>
      <c r="N122" s="643"/>
    </row>
    <row r="123" spans="1:14" ht="38.25">
      <c r="A123" s="1479"/>
      <c r="B123" s="1479"/>
      <c r="C123" s="1481"/>
      <c r="D123" s="593" t="s">
        <v>536</v>
      </c>
      <c r="E123" s="686"/>
      <c r="F123" s="655"/>
      <c r="G123" s="670" t="s">
        <v>587</v>
      </c>
      <c r="H123" s="671" t="s">
        <v>587</v>
      </c>
      <c r="I123" s="433"/>
      <c r="J123" s="558"/>
      <c r="K123" s="547" t="s">
        <v>1185</v>
      </c>
      <c r="L123" s="571"/>
      <c r="M123" s="567"/>
      <c r="N123" s="643"/>
    </row>
    <row r="124" spans="1:14" ht="25.5">
      <c r="A124" s="1479"/>
      <c r="B124" s="1479"/>
      <c r="C124" s="1481"/>
      <c r="D124" s="593" t="s">
        <v>1029</v>
      </c>
      <c r="E124" s="686"/>
      <c r="F124" s="655"/>
      <c r="G124" s="721" t="s">
        <v>562</v>
      </c>
      <c r="H124" s="721" t="s">
        <v>562</v>
      </c>
      <c r="I124" s="433"/>
      <c r="J124" s="558"/>
      <c r="K124" s="1483" t="s">
        <v>1184</v>
      </c>
      <c r="L124" s="571"/>
      <c r="M124" s="567"/>
      <c r="N124" s="643"/>
    </row>
    <row r="125" spans="1:14" ht="12.75">
      <c r="A125" s="1479"/>
      <c r="B125" s="1479"/>
      <c r="C125" s="1481"/>
      <c r="D125" s="593" t="s">
        <v>1030</v>
      </c>
      <c r="E125" s="686"/>
      <c r="F125" s="655"/>
      <c r="G125" s="670" t="s">
        <v>587</v>
      </c>
      <c r="H125" s="671" t="s">
        <v>562</v>
      </c>
      <c r="I125" s="433"/>
      <c r="J125" s="558"/>
      <c r="K125" s="1484"/>
      <c r="L125" s="571"/>
      <c r="M125" s="567"/>
      <c r="N125" s="643"/>
    </row>
    <row r="126" spans="1:14" ht="25.5">
      <c r="A126" s="1479"/>
      <c r="B126" s="1479"/>
      <c r="C126" s="1481"/>
      <c r="D126" s="593" t="s">
        <v>1031</v>
      </c>
      <c r="E126" s="686"/>
      <c r="F126" s="655"/>
      <c r="G126" s="670"/>
      <c r="H126" s="671"/>
      <c r="I126" s="433"/>
      <c r="J126" s="558"/>
      <c r="K126" s="547" t="s">
        <v>1183</v>
      </c>
      <c r="L126" s="571"/>
      <c r="M126" s="567"/>
      <c r="N126" s="643"/>
    </row>
    <row r="127" spans="1:14" ht="25.5">
      <c r="A127" s="1479"/>
      <c r="B127" s="1479"/>
      <c r="C127" s="1481"/>
      <c r="D127" s="593" t="s">
        <v>994</v>
      </c>
      <c r="E127" s="686"/>
      <c r="F127" s="655"/>
      <c r="G127" s="670" t="s">
        <v>587</v>
      </c>
      <c r="H127" s="671" t="s">
        <v>587</v>
      </c>
      <c r="I127" s="433"/>
      <c r="J127" s="558"/>
      <c r="K127" s="502" t="s">
        <v>653</v>
      </c>
      <c r="L127" s="571"/>
      <c r="M127" s="567"/>
      <c r="N127" s="643"/>
    </row>
    <row r="128" spans="1:14" ht="22.5">
      <c r="A128" s="1479"/>
      <c r="B128" s="1479"/>
      <c r="C128" s="1481"/>
      <c r="D128" s="593" t="s">
        <v>1342</v>
      </c>
      <c r="E128" s="686"/>
      <c r="F128" s="655"/>
      <c r="G128" s="670" t="s">
        <v>587</v>
      </c>
      <c r="H128" s="671" t="s">
        <v>587</v>
      </c>
      <c r="I128" s="433"/>
      <c r="J128" s="558"/>
      <c r="K128" s="502" t="s">
        <v>1343</v>
      </c>
      <c r="L128" s="571"/>
      <c r="M128" s="567"/>
      <c r="N128" s="643"/>
    </row>
    <row r="129" spans="1:14" ht="45">
      <c r="A129" s="1479"/>
      <c r="B129" s="1479"/>
      <c r="C129" s="1481"/>
      <c r="D129" s="593" t="s">
        <v>1463</v>
      </c>
      <c r="E129" s="686"/>
      <c r="F129" s="655"/>
      <c r="G129" s="670"/>
      <c r="H129" s="671"/>
      <c r="I129" s="433"/>
      <c r="J129" s="558"/>
      <c r="K129" s="502" t="s">
        <v>1464</v>
      </c>
      <c r="L129" s="571"/>
      <c r="M129" s="567"/>
      <c r="N129" s="643"/>
    </row>
    <row r="130" spans="1:14" ht="38.25">
      <c r="A130" s="1479"/>
      <c r="B130" s="1479"/>
      <c r="C130" s="1482"/>
      <c r="D130" s="593" t="s">
        <v>964</v>
      </c>
      <c r="E130" s="686"/>
      <c r="F130" s="655"/>
      <c r="G130" s="670"/>
      <c r="H130" s="671"/>
      <c r="I130" s="433"/>
      <c r="J130" s="558"/>
      <c r="K130" s="502" t="s">
        <v>1182</v>
      </c>
      <c r="L130" s="571"/>
      <c r="M130" s="567"/>
      <c r="N130" s="643"/>
    </row>
    <row r="131" spans="1:14" ht="38.25">
      <c r="A131" s="1485" t="s">
        <v>562</v>
      </c>
      <c r="B131" s="1485" t="s">
        <v>995</v>
      </c>
      <c r="C131" s="331" t="s">
        <v>997</v>
      </c>
      <c r="D131" s="425"/>
      <c r="E131" s="682"/>
      <c r="F131" s="650"/>
      <c r="G131" s="664"/>
      <c r="H131" s="665"/>
      <c r="I131" s="429"/>
      <c r="J131" s="553"/>
      <c r="K131" s="500" t="s">
        <v>867</v>
      </c>
      <c r="L131" s="571"/>
      <c r="M131" s="567"/>
      <c r="N131" s="643"/>
    </row>
    <row r="132" spans="1:14" ht="25.5">
      <c r="A132" s="1485"/>
      <c r="B132" s="1485"/>
      <c r="C132" s="331" t="s">
        <v>996</v>
      </c>
      <c r="D132" s="425"/>
      <c r="E132" s="682"/>
      <c r="F132" s="650"/>
      <c r="G132" s="664" t="s">
        <v>587</v>
      </c>
      <c r="H132" s="665" t="s">
        <v>587</v>
      </c>
      <c r="I132" s="429"/>
      <c r="J132" s="553"/>
      <c r="K132" s="500" t="s">
        <v>1181</v>
      </c>
      <c r="L132" s="571"/>
      <c r="M132" s="567"/>
      <c r="N132" s="643" t="s">
        <v>1456</v>
      </c>
    </row>
    <row r="133" spans="1:14" ht="22.5">
      <c r="A133" s="1485"/>
      <c r="B133" s="1485"/>
      <c r="C133" s="338" t="s">
        <v>868</v>
      </c>
      <c r="D133" s="426"/>
      <c r="E133" s="687"/>
      <c r="F133" s="656"/>
      <c r="G133" s="672"/>
      <c r="H133" s="673"/>
      <c r="I133" s="434"/>
      <c r="J133" s="560"/>
      <c r="K133" s="546" t="s">
        <v>1180</v>
      </c>
      <c r="L133" s="571"/>
      <c r="M133" s="567"/>
      <c r="N133" s="643"/>
    </row>
    <row r="134" spans="1:14" ht="38.25">
      <c r="A134" s="1551"/>
      <c r="B134" s="1551" t="s">
        <v>869</v>
      </c>
      <c r="C134" s="597" t="s">
        <v>1046</v>
      </c>
      <c r="D134" s="422"/>
      <c r="E134" s="681"/>
      <c r="F134" s="649"/>
      <c r="G134" s="662" t="s">
        <v>587</v>
      </c>
      <c r="H134" s="663" t="s">
        <v>587</v>
      </c>
      <c r="I134" s="428"/>
      <c r="J134" s="528"/>
      <c r="K134" s="494" t="s">
        <v>1179</v>
      </c>
      <c r="L134" s="572"/>
      <c r="M134" s="567"/>
      <c r="N134" s="643"/>
    </row>
    <row r="135" spans="1:14" ht="25.5">
      <c r="A135" s="1551"/>
      <c r="B135" s="1551"/>
      <c r="C135" s="336" t="s">
        <v>551</v>
      </c>
      <c r="D135" s="427"/>
      <c r="E135" s="688"/>
      <c r="F135" s="657"/>
      <c r="G135" s="674" t="s">
        <v>587</v>
      </c>
      <c r="H135" s="675" t="s">
        <v>562</v>
      </c>
      <c r="I135" s="435"/>
      <c r="J135" s="561"/>
      <c r="K135" s="497" t="s">
        <v>1178</v>
      </c>
      <c r="L135" s="567"/>
      <c r="M135" s="567"/>
      <c r="N135" s="643"/>
    </row>
    <row r="136" spans="1:14" ht="25.5">
      <c r="A136" s="1551"/>
      <c r="B136" s="1551"/>
      <c r="C136" s="336" t="s">
        <v>1052</v>
      </c>
      <c r="D136" s="427"/>
      <c r="E136" s="688"/>
      <c r="F136" s="657"/>
      <c r="G136" s="674" t="s">
        <v>562</v>
      </c>
      <c r="H136" s="675" t="s">
        <v>562</v>
      </c>
      <c r="I136" s="435"/>
      <c r="J136" s="561"/>
      <c r="K136" s="497" t="s">
        <v>1177</v>
      </c>
      <c r="L136" s="567"/>
      <c r="M136" s="567"/>
      <c r="N136" s="643"/>
    </row>
    <row r="137" spans="1:14" ht="22.5">
      <c r="A137" s="1551"/>
      <c r="B137" s="1551"/>
      <c r="C137" s="597" t="s">
        <v>553</v>
      </c>
      <c r="D137" s="422"/>
      <c r="E137" s="681"/>
      <c r="F137" s="649"/>
      <c r="G137" s="662" t="s">
        <v>562</v>
      </c>
      <c r="H137" s="663" t="s">
        <v>562</v>
      </c>
      <c r="I137" s="428"/>
      <c r="J137" s="494" t="s">
        <v>554</v>
      </c>
      <c r="K137" s="548" t="s">
        <v>1176</v>
      </c>
      <c r="L137" s="571"/>
      <c r="M137" s="567"/>
      <c r="N137" s="643"/>
    </row>
    <row r="138" spans="1:14" ht="25.5">
      <c r="A138" s="1551"/>
      <c r="B138" s="1551"/>
      <c r="C138" s="597" t="s">
        <v>555</v>
      </c>
      <c r="D138" s="422"/>
      <c r="E138" s="681"/>
      <c r="F138" s="649"/>
      <c r="G138" s="662" t="s">
        <v>587</v>
      </c>
      <c r="H138" s="663" t="s">
        <v>587</v>
      </c>
      <c r="I138" s="428"/>
      <c r="J138" s="528"/>
      <c r="K138" s="494" t="s">
        <v>582</v>
      </c>
      <c r="L138" s="571"/>
      <c r="M138" s="567"/>
      <c r="N138" s="643"/>
    </row>
    <row r="139" spans="1:14" ht="38.25">
      <c r="A139" s="1551"/>
      <c r="B139" s="1551"/>
      <c r="C139" s="597" t="s">
        <v>1028</v>
      </c>
      <c r="D139" s="422"/>
      <c r="E139" s="681"/>
      <c r="F139" s="649"/>
      <c r="G139" s="662" t="s">
        <v>587</v>
      </c>
      <c r="H139" s="663" t="s">
        <v>587</v>
      </c>
      <c r="I139" s="428"/>
      <c r="J139" s="528"/>
      <c r="K139" s="494" t="s">
        <v>1424</v>
      </c>
      <c r="L139" s="571"/>
      <c r="M139" s="567"/>
      <c r="N139" s="643"/>
    </row>
    <row r="140" spans="1:14" ht="12.75">
      <c r="A140" s="1551"/>
      <c r="B140" s="1551"/>
      <c r="C140" s="597" t="s">
        <v>1051</v>
      </c>
      <c r="D140" s="422"/>
      <c r="E140" s="681"/>
      <c r="F140" s="649"/>
      <c r="G140" s="662" t="s">
        <v>562</v>
      </c>
      <c r="H140" s="663" t="s">
        <v>562</v>
      </c>
      <c r="I140" s="428"/>
      <c r="J140" s="528"/>
      <c r="K140" s="494" t="s">
        <v>1175</v>
      </c>
      <c r="L140" s="571"/>
      <c r="M140" s="567"/>
      <c r="N140" s="643"/>
    </row>
    <row r="141" spans="1:14" ht="25.5">
      <c r="A141" s="1551"/>
      <c r="B141" s="1551"/>
      <c r="C141" s="597" t="s">
        <v>1338</v>
      </c>
      <c r="D141" s="422"/>
      <c r="E141" s="681"/>
      <c r="F141" s="649"/>
      <c r="G141" s="662" t="s">
        <v>587</v>
      </c>
      <c r="H141" s="663" t="s">
        <v>562</v>
      </c>
      <c r="I141" s="428"/>
      <c r="J141" s="555"/>
      <c r="K141" s="494" t="s">
        <v>1174</v>
      </c>
      <c r="L141" s="571"/>
      <c r="M141" s="567"/>
      <c r="N141" s="643"/>
    </row>
    <row r="142" spans="1:14" ht="13.5" thickBot="1">
      <c r="A142" s="1551"/>
      <c r="B142" s="1551"/>
      <c r="C142" s="597" t="s">
        <v>625</v>
      </c>
      <c r="D142" s="422"/>
      <c r="E142" s="689"/>
      <c r="F142" s="658"/>
      <c r="G142" s="658" t="s">
        <v>587</v>
      </c>
      <c r="H142" s="676" t="s">
        <v>587</v>
      </c>
      <c r="I142" s="428"/>
      <c r="J142" s="555"/>
      <c r="K142" s="494" t="s">
        <v>1047</v>
      </c>
      <c r="L142" s="571"/>
      <c r="M142" s="567"/>
      <c r="N142" s="643"/>
    </row>
    <row r="143" spans="1:14" ht="13.5" thickTop="1">
      <c r="A143" s="540" t="s">
        <v>1431</v>
      </c>
      <c r="B143" s="417"/>
      <c r="C143" s="529"/>
      <c r="D143" s="541"/>
      <c r="E143" s="409"/>
      <c r="F143" s="409"/>
      <c r="G143" s="409"/>
      <c r="H143" s="409"/>
      <c r="I143" s="409"/>
      <c r="N143" s="645"/>
    </row>
    <row r="144" spans="1:14" ht="12.75">
      <c r="C144" s="529"/>
      <c r="D144" s="541"/>
      <c r="E144" s="409"/>
      <c r="F144" s="409"/>
      <c r="G144" s="409"/>
      <c r="H144" s="409"/>
      <c r="I144" s="409"/>
      <c r="N144" s="645"/>
    </row>
    <row r="145" spans="1:14" ht="12.75">
      <c r="D145" s="542"/>
      <c r="N145" s="645"/>
    </row>
    <row r="146" spans="1:14" ht="12.75">
      <c r="D146" s="524"/>
      <c r="N146" s="645"/>
    </row>
    <row r="147" spans="1:14">
      <c r="A147" s="525" t="s">
        <v>1442</v>
      </c>
      <c r="N147" s="645"/>
    </row>
    <row r="148" spans="1:14">
      <c r="A148" s="525"/>
      <c r="D148" s="312" t="s">
        <v>1335</v>
      </c>
      <c r="N148" s="645"/>
    </row>
    <row r="149" spans="1:14">
      <c r="A149" s="525"/>
      <c r="N149" s="645"/>
    </row>
    <row r="150" spans="1:14" ht="33.75">
      <c r="A150" s="525"/>
      <c r="C150" s="530" t="s">
        <v>1357</v>
      </c>
      <c r="D150" s="531"/>
      <c r="E150" s="507"/>
      <c r="F150" s="507"/>
      <c r="G150" s="722" t="s">
        <v>562</v>
      </c>
      <c r="H150" s="722" t="s">
        <v>562</v>
      </c>
      <c r="I150" s="507"/>
      <c r="J150" s="535"/>
      <c r="K150" s="535" t="s">
        <v>1358</v>
      </c>
      <c r="L150" s="569"/>
      <c r="M150" s="569"/>
      <c r="N150" s="643"/>
    </row>
    <row r="151" spans="1:14" ht="38.25">
      <c r="C151" s="533" t="s">
        <v>1359</v>
      </c>
      <c r="D151" s="534" t="s">
        <v>1017</v>
      </c>
      <c r="E151" s="603"/>
      <c r="F151" s="659" t="s">
        <v>587</v>
      </c>
      <c r="G151" s="659" t="s">
        <v>587</v>
      </c>
      <c r="H151" s="659" t="s">
        <v>587</v>
      </c>
      <c r="I151" s="603"/>
      <c r="J151" s="562" t="s">
        <v>1336</v>
      </c>
      <c r="K151" s="602" t="s">
        <v>1337</v>
      </c>
      <c r="L151" s="490"/>
      <c r="M151" s="569"/>
      <c r="N151" s="643"/>
    </row>
    <row r="152" spans="1:14" ht="33.75">
      <c r="C152" s="601" t="s">
        <v>1006</v>
      </c>
      <c r="D152" s="534" t="s">
        <v>1360</v>
      </c>
      <c r="E152" s="507"/>
      <c r="F152" s="507"/>
      <c r="G152" s="722" t="s">
        <v>562</v>
      </c>
      <c r="H152" s="722" t="s">
        <v>562</v>
      </c>
      <c r="I152" s="507"/>
      <c r="J152" s="602" t="s">
        <v>1189</v>
      </c>
      <c r="K152" s="602" t="s">
        <v>1196</v>
      </c>
      <c r="L152" s="569"/>
      <c r="M152" s="569"/>
      <c r="N152" s="643"/>
    </row>
    <row r="153" spans="1:14" ht="33.75">
      <c r="C153" s="601" t="s">
        <v>598</v>
      </c>
      <c r="D153" s="531" t="s">
        <v>1361</v>
      </c>
      <c r="E153" s="507"/>
      <c r="F153" s="507"/>
      <c r="G153" s="722" t="s">
        <v>562</v>
      </c>
      <c r="H153" s="722" t="s">
        <v>562</v>
      </c>
      <c r="I153" s="507"/>
      <c r="J153" s="535"/>
      <c r="K153" s="602" t="s">
        <v>1191</v>
      </c>
      <c r="L153" s="569"/>
      <c r="M153" s="569"/>
      <c r="N153" s="646"/>
    </row>
    <row r="154" spans="1:14" ht="38.25">
      <c r="C154" s="533" t="s">
        <v>1339</v>
      </c>
      <c r="D154" s="531" t="s">
        <v>1435</v>
      </c>
      <c r="E154" s="507"/>
      <c r="F154" s="507"/>
      <c r="G154" s="722" t="s">
        <v>562</v>
      </c>
      <c r="H154" s="722" t="s">
        <v>562</v>
      </c>
      <c r="I154" s="507"/>
      <c r="J154" s="535"/>
      <c r="K154" s="535" t="s">
        <v>1340</v>
      </c>
      <c r="L154" s="569"/>
      <c r="M154" s="569"/>
      <c r="N154" s="646"/>
    </row>
    <row r="155" spans="1:14" ht="25.5">
      <c r="C155" s="530" t="s">
        <v>1341</v>
      </c>
      <c r="D155" s="531" t="s">
        <v>1362</v>
      </c>
      <c r="E155" s="507"/>
      <c r="F155" s="507"/>
      <c r="G155" s="722" t="s">
        <v>562</v>
      </c>
      <c r="H155" s="722" t="s">
        <v>562</v>
      </c>
      <c r="I155" s="507"/>
      <c r="J155" s="535"/>
      <c r="K155" s="535" t="s">
        <v>1425</v>
      </c>
      <c r="L155" s="569"/>
      <c r="M155" s="569"/>
      <c r="N155" s="646"/>
    </row>
    <row r="156" spans="1:14" ht="25.5">
      <c r="C156" s="536" t="s">
        <v>1353</v>
      </c>
      <c r="D156" s="531" t="s">
        <v>1363</v>
      </c>
      <c r="E156" s="507"/>
      <c r="F156" s="507"/>
      <c r="G156" s="722" t="s">
        <v>562</v>
      </c>
      <c r="H156" s="722" t="s">
        <v>562</v>
      </c>
      <c r="I156" s="507"/>
      <c r="J156" s="535"/>
      <c r="K156" s="535" t="s">
        <v>1426</v>
      </c>
      <c r="L156" s="569"/>
      <c r="M156" s="569"/>
      <c r="N156" s="646"/>
    </row>
    <row r="157" spans="1:14" ht="25.5">
      <c r="C157" s="536" t="s">
        <v>1351</v>
      </c>
      <c r="D157" s="531" t="s">
        <v>1364</v>
      </c>
      <c r="E157" s="507"/>
      <c r="F157" s="507"/>
      <c r="G157" s="722" t="s">
        <v>562</v>
      </c>
      <c r="H157" s="722" t="s">
        <v>562</v>
      </c>
      <c r="I157" s="507"/>
      <c r="J157" s="535"/>
      <c r="K157" s="535" t="s">
        <v>1352</v>
      </c>
      <c r="L157" s="569"/>
      <c r="M157" s="569"/>
      <c r="N157" s="646"/>
    </row>
    <row r="158" spans="1:14" ht="38.25">
      <c r="C158" s="536" t="s">
        <v>1350</v>
      </c>
      <c r="D158" s="531" t="s">
        <v>1365</v>
      </c>
      <c r="E158" s="507"/>
      <c r="F158" s="507"/>
      <c r="G158" s="722" t="s">
        <v>562</v>
      </c>
      <c r="H158" s="722" t="s">
        <v>562</v>
      </c>
      <c r="I158" s="507"/>
      <c r="J158" s="535"/>
      <c r="K158" s="535" t="s">
        <v>1349</v>
      </c>
      <c r="L158" s="569"/>
      <c r="M158" s="569"/>
      <c r="N158" s="646"/>
    </row>
    <row r="159" spans="1:14">
      <c r="C159" s="530" t="s">
        <v>1354</v>
      </c>
      <c r="D159" s="531" t="s">
        <v>1366</v>
      </c>
      <c r="E159" s="507"/>
      <c r="F159" s="507"/>
      <c r="G159" s="722" t="s">
        <v>587</v>
      </c>
      <c r="H159" s="722" t="s">
        <v>587</v>
      </c>
      <c r="I159" s="507"/>
      <c r="J159" s="535"/>
      <c r="K159" s="535" t="s">
        <v>1427</v>
      </c>
      <c r="L159" s="569"/>
      <c r="M159" s="569"/>
      <c r="N159" s="646"/>
    </row>
    <row r="160" spans="1:14">
      <c r="C160" s="530" t="s">
        <v>1355</v>
      </c>
      <c r="D160" s="531" t="s">
        <v>1367</v>
      </c>
      <c r="E160" s="507"/>
      <c r="F160" s="507"/>
      <c r="G160" s="723" t="s">
        <v>384</v>
      </c>
      <c r="H160" s="723" t="s">
        <v>384</v>
      </c>
      <c r="I160" s="507"/>
      <c r="J160" s="535"/>
      <c r="K160" s="535" t="s">
        <v>1356</v>
      </c>
      <c r="L160" s="569"/>
      <c r="M160" s="569"/>
      <c r="N160" s="646"/>
    </row>
  </sheetData>
  <mergeCells count="69">
    <mergeCell ref="G1:H1"/>
    <mergeCell ref="A131:A133"/>
    <mergeCell ref="B131:B133"/>
    <mergeCell ref="A134:A142"/>
    <mergeCell ref="B134:B142"/>
    <mergeCell ref="C108:C114"/>
    <mergeCell ref="C115:C119"/>
    <mergeCell ref="A120:A130"/>
    <mergeCell ref="B120:B130"/>
    <mergeCell ref="C120:C130"/>
    <mergeCell ref="A84:A88"/>
    <mergeCell ref="B84:B88"/>
    <mergeCell ref="C84:C88"/>
    <mergeCell ref="C70:C71"/>
    <mergeCell ref="A12:A23"/>
    <mergeCell ref="B12:B23"/>
    <mergeCell ref="N36:N37"/>
    <mergeCell ref="N43:N45"/>
    <mergeCell ref="N59:N60"/>
    <mergeCell ref="N91:N95"/>
    <mergeCell ref="K103:K107"/>
    <mergeCell ref="K70:K71"/>
    <mergeCell ref="K124:K125"/>
    <mergeCell ref="A89:A101"/>
    <mergeCell ref="B89:B101"/>
    <mergeCell ref="C89:C92"/>
    <mergeCell ref="C96:C101"/>
    <mergeCell ref="J96:J101"/>
    <mergeCell ref="A102:A119"/>
    <mergeCell ref="B102:B119"/>
    <mergeCell ref="C103:C107"/>
    <mergeCell ref="J103:J107"/>
    <mergeCell ref="J84:J88"/>
    <mergeCell ref="K84:K88"/>
    <mergeCell ref="A75:A83"/>
    <mergeCell ref="B75:B83"/>
    <mergeCell ref="C75:C79"/>
    <mergeCell ref="J75:J79"/>
    <mergeCell ref="K75:K79"/>
    <mergeCell ref="C81:C83"/>
    <mergeCell ref="J53:J58"/>
    <mergeCell ref="K53:K58"/>
    <mergeCell ref="A39:A52"/>
    <mergeCell ref="B39:B52"/>
    <mergeCell ref="C39:C40"/>
    <mergeCell ref="A53:A74"/>
    <mergeCell ref="B53:B74"/>
    <mergeCell ref="C53:C58"/>
    <mergeCell ref="C59:C65"/>
    <mergeCell ref="J59:J65"/>
    <mergeCell ref="K59:K65"/>
    <mergeCell ref="C66:C67"/>
    <mergeCell ref="J66:J67"/>
    <mergeCell ref="K66:K67"/>
    <mergeCell ref="C12:C20"/>
    <mergeCell ref="A24:A38"/>
    <mergeCell ref="B24:B38"/>
    <mergeCell ref="C24:C26"/>
    <mergeCell ref="C36:C37"/>
    <mergeCell ref="E10:H10"/>
    <mergeCell ref="A5:D5"/>
    <mergeCell ref="A6:D10"/>
    <mergeCell ref="E6:H6"/>
    <mergeCell ref="E7:H7"/>
    <mergeCell ref="A3:D3"/>
    <mergeCell ref="E3:H3"/>
    <mergeCell ref="A4:D4"/>
    <mergeCell ref="E8:H8"/>
    <mergeCell ref="E9:H9"/>
  </mergeCells>
  <pageMargins left="0.25" right="0.25" top="0.75" bottom="0.75" header="0.3" footer="0.3"/>
  <pageSetup scale="36" fitToHeight="0" orientation="landscape" r:id="rId1"/>
  <rowBreaks count="1" manualBreakCount="1">
    <brk id="1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workbookViewId="0">
      <selection activeCell="G25" sqref="G25"/>
    </sheetView>
  </sheetViews>
  <sheetFormatPr defaultRowHeight="15"/>
  <cols>
    <col min="1" max="1" width="3.5" style="462" customWidth="1"/>
    <col min="2" max="2" width="14.875" style="462" customWidth="1"/>
    <col min="3" max="3" width="11.625" style="462" customWidth="1"/>
    <col min="4" max="4" width="27" style="462" customWidth="1"/>
    <col min="5" max="5" width="27.375" style="462" customWidth="1"/>
    <col min="6" max="6" width="4.75" style="462" customWidth="1"/>
    <col min="7" max="7" width="14.875" style="462" customWidth="1"/>
    <col min="8" max="8" width="11.625" style="462" customWidth="1"/>
    <col min="9" max="9" width="21" style="462" customWidth="1"/>
    <col min="10" max="10" width="14.875" style="462" customWidth="1"/>
    <col min="11" max="16384" width="9" style="462"/>
  </cols>
  <sheetData>
    <row r="2" spans="2:10">
      <c r="B2" s="461" t="s">
        <v>1085</v>
      </c>
    </row>
    <row r="3" spans="2:10">
      <c r="B3" s="463" t="s">
        <v>1086</v>
      </c>
    </row>
    <row r="5" spans="2:10">
      <c r="B5" s="464" t="s">
        <v>1087</v>
      </c>
      <c r="G5" s="464" t="s">
        <v>1088</v>
      </c>
    </row>
    <row r="6" spans="2:10" s="461" customFormat="1">
      <c r="B6" s="461" t="s">
        <v>1089</v>
      </c>
      <c r="G6" s="461" t="s">
        <v>1090</v>
      </c>
    </row>
    <row r="7" spans="2:10" ht="15.75" thickBot="1">
      <c r="B7" s="465" t="s">
        <v>1091</v>
      </c>
      <c r="C7" s="465" t="s">
        <v>201</v>
      </c>
      <c r="D7" s="465" t="s">
        <v>703</v>
      </c>
      <c r="E7" s="465" t="s">
        <v>1092</v>
      </c>
      <c r="G7" s="465" t="s">
        <v>1091</v>
      </c>
      <c r="H7" s="465" t="s">
        <v>201</v>
      </c>
      <c r="I7" s="465" t="s">
        <v>703</v>
      </c>
      <c r="J7" s="465" t="s">
        <v>1092</v>
      </c>
    </row>
    <row r="8" spans="2:10" ht="16.5" thickTop="1">
      <c r="B8" s="462" t="s">
        <v>718</v>
      </c>
      <c r="C8" s="466">
        <v>150000</v>
      </c>
    </row>
    <row r="9" spans="2:10" ht="15.75">
      <c r="B9" s="462" t="s">
        <v>727</v>
      </c>
      <c r="C9" s="466">
        <v>150000</v>
      </c>
    </row>
    <row r="10" spans="2:10" ht="15.75">
      <c r="B10" s="462" t="s">
        <v>709</v>
      </c>
      <c r="C10" s="466">
        <v>150000</v>
      </c>
    </row>
    <row r="11" spans="2:10" s="461" customFormat="1" ht="15.75">
      <c r="B11" s="462" t="s">
        <v>1093</v>
      </c>
      <c r="C11" s="466">
        <v>50000</v>
      </c>
      <c r="D11" s="462" t="s">
        <v>1094</v>
      </c>
      <c r="E11" s="462"/>
      <c r="F11" s="462"/>
    </row>
    <row r="12" spans="2:10" ht="15.75">
      <c r="C12" s="466"/>
    </row>
    <row r="13" spans="2:10" ht="15.75">
      <c r="B13" s="461" t="s">
        <v>1095</v>
      </c>
      <c r="C13" s="466">
        <f>SUM(C8:C12)</f>
        <v>500000</v>
      </c>
    </row>
    <row r="15" spans="2:10">
      <c r="B15" s="461" t="s">
        <v>1096</v>
      </c>
      <c r="C15" s="461"/>
      <c r="D15" s="461"/>
      <c r="E15" s="461"/>
      <c r="F15" s="461"/>
    </row>
    <row r="16" spans="2:10" ht="15.75" thickBot="1">
      <c r="B16" s="465" t="s">
        <v>1091</v>
      </c>
      <c r="C16" s="465" t="s">
        <v>201</v>
      </c>
      <c r="D16" s="465" t="s">
        <v>703</v>
      </c>
      <c r="E16" s="465" t="s">
        <v>1092</v>
      </c>
    </row>
    <row r="17" spans="2:6" ht="15.75" thickTop="1"/>
    <row r="20" spans="2:6" s="461" customFormat="1">
      <c r="B20" s="462"/>
      <c r="C20" s="462"/>
      <c r="D20" s="462"/>
      <c r="E20" s="462"/>
      <c r="F20" s="462"/>
    </row>
    <row r="21" spans="2:6">
      <c r="B21" s="461" t="s">
        <v>1097</v>
      </c>
      <c r="C21" s="461"/>
      <c r="D21" s="461"/>
      <c r="E21" s="461"/>
      <c r="F21" s="461"/>
    </row>
    <row r="22" spans="2:6" ht="15.75" thickBot="1">
      <c r="B22" s="465" t="s">
        <v>1091</v>
      </c>
      <c r="C22" s="465" t="s">
        <v>201</v>
      </c>
      <c r="D22" s="465" t="s">
        <v>703</v>
      </c>
      <c r="E22" s="465" t="s">
        <v>1092</v>
      </c>
    </row>
    <row r="23" spans="2:6" ht="15.75" thickTop="1"/>
    <row r="26" spans="2:6" s="461" customFormat="1">
      <c r="B26" s="462"/>
      <c r="C26" s="462"/>
      <c r="D26" s="462"/>
      <c r="E26" s="462"/>
      <c r="F26" s="46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24</vt:i4>
      </vt:variant>
    </vt:vector>
  </HeadingPairs>
  <TitlesOfParts>
    <vt:vector size="59" baseType="lpstr">
      <vt:lpstr>Timeline 2018 update</vt:lpstr>
      <vt:lpstr>RFI Vendor Tracking</vt:lpstr>
      <vt:lpstr>Journey - Unemployed Adult</vt:lpstr>
      <vt:lpstr>Matrix summary by agency</vt:lpstr>
      <vt:lpstr>Activity Matrix All Detail</vt:lpstr>
      <vt:lpstr>Activity Matrix stat reqs</vt:lpstr>
      <vt:lpstr>Activity Matrix CWDC SME</vt:lpstr>
      <vt:lpstr>Activity Matrix DHS SME</vt:lpstr>
      <vt:lpstr>Funding Commitments</vt:lpstr>
      <vt:lpstr>Agency Participants</vt:lpstr>
      <vt:lpstr>Meetings_Communications</vt:lpstr>
      <vt:lpstr>Old Implementation</vt:lpstr>
      <vt:lpstr>Implementation 2018</vt:lpstr>
      <vt:lpstr>2017 Timeline</vt:lpstr>
      <vt:lpstr>Original Future State Concepts</vt:lpstr>
      <vt:lpstr>Strategic Options</vt:lpstr>
      <vt:lpstr>Funding source graph</vt:lpstr>
      <vt:lpstr>Budget with Funders</vt:lpstr>
      <vt:lpstr>Analytics Then and Now</vt:lpstr>
      <vt:lpstr>Rural_Urban</vt:lpstr>
      <vt:lpstr>Accounts by Agency_7 years</vt:lpstr>
      <vt:lpstr>Accounts 7 Grad Yrs </vt:lpstr>
      <vt:lpstr>CIC_Naviance Pricing</vt:lpstr>
      <vt:lpstr>Top OYF Pages</vt:lpstr>
      <vt:lpstr>Top CIC Pages</vt:lpstr>
      <vt:lpstr>Careers in Colorado Stats</vt:lpstr>
      <vt:lpstr>Pro Center Stats</vt:lpstr>
      <vt:lpstr>Curriculum</vt:lpstr>
      <vt:lpstr>Potential users</vt:lpstr>
      <vt:lpstr>Partnerships Focus</vt:lpstr>
      <vt:lpstr>Outreach Focus</vt:lpstr>
      <vt:lpstr>Statuatory Requirements</vt:lpstr>
      <vt:lpstr>Money 101 &amp; CAT Stats</vt:lpstr>
      <vt:lpstr>Report Central</vt:lpstr>
      <vt:lpstr>Product_Initiative Names</vt:lpstr>
      <vt:lpstr>Curriculum!careerExporation</vt:lpstr>
      <vt:lpstr>Curriculum!finaidPlanning</vt:lpstr>
      <vt:lpstr>Curriculum!hsPlanning</vt:lpstr>
      <vt:lpstr>Curriculum!jobSearch</vt:lpstr>
      <vt:lpstr>Curriculum!lifelongPortfolio</vt:lpstr>
      <vt:lpstr>Curriculum!postsecPlanning</vt:lpstr>
      <vt:lpstr>'2017 Timeline'!Print_Area</vt:lpstr>
      <vt:lpstr>'Activity Matrix All Detail'!Print_Area</vt:lpstr>
      <vt:lpstr>'Activity Matrix CWDC SME'!Print_Area</vt:lpstr>
      <vt:lpstr>'Activity Matrix DHS SME'!Print_Area</vt:lpstr>
      <vt:lpstr>'Activity Matrix stat reqs'!Print_Area</vt:lpstr>
      <vt:lpstr>'Journey - Unemployed Adult'!Print_Area</vt:lpstr>
      <vt:lpstr>'Outreach Focus'!Print_Area</vt:lpstr>
      <vt:lpstr>'Partnerships Focus'!Print_Area</vt:lpstr>
      <vt:lpstr>Rural_Urban!Print_Area</vt:lpstr>
      <vt:lpstr>'Statuatory Requirements'!Print_Area</vt:lpstr>
      <vt:lpstr>'Timeline 2018 update'!Print_Area</vt:lpstr>
      <vt:lpstr>'Activity Matrix All Detail'!Print_Titles</vt:lpstr>
      <vt:lpstr>'Activity Matrix CWDC SME'!Print_Titles</vt:lpstr>
      <vt:lpstr>'Activity Matrix DHS SME'!Print_Titles</vt:lpstr>
      <vt:lpstr>'Activity Matrix stat reqs'!Print_Titles</vt:lpstr>
      <vt:lpstr>'Budget with Funders'!Print_Titles</vt:lpstr>
      <vt:lpstr>'Original Future State Concepts'!Print_Titles</vt:lpstr>
      <vt:lpstr>'Strategic Options'!Print_Titles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Pirnack, Julia</dc:creator>
  <cp:lastModifiedBy>Pirnack, Julia</cp:lastModifiedBy>
  <cp:lastPrinted>2018-03-14T16:49:26Z</cp:lastPrinted>
  <dcterms:created xsi:type="dcterms:W3CDTF">2017-07-26T14:23:39Z</dcterms:created>
  <dcterms:modified xsi:type="dcterms:W3CDTF">2018-04-11T14:13:06Z</dcterms:modified>
</cp:coreProperties>
</file>